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5180" windowHeight="8580"/>
  </bookViews>
  <sheets>
    <sheet name="Knaben" sheetId="1" r:id="rId1"/>
    <sheet name="Mädchen" sheetId="3" r:id="rId2"/>
    <sheet name="Formelsammlung" sheetId="2" r:id="rId3"/>
  </sheets>
  <calcPr calcId="145621"/>
</workbook>
</file>

<file path=xl/calcChain.xml><?xml version="1.0" encoding="utf-8"?>
<calcChain xmlns="http://schemas.openxmlformats.org/spreadsheetml/2006/main">
  <c r="M25" i="2" l="1"/>
  <c r="K25" i="2"/>
  <c r="K24" i="2"/>
  <c r="M24" i="2" s="1"/>
  <c r="K23" i="2"/>
  <c r="M23" i="2" s="1"/>
  <c r="M5" i="2"/>
  <c r="M4" i="2"/>
  <c r="M3" i="2"/>
  <c r="M44" i="2"/>
  <c r="M43" i="2"/>
  <c r="M42" i="2"/>
  <c r="M74" i="2"/>
  <c r="M68" i="2"/>
  <c r="M67" i="2"/>
  <c r="R35" i="1"/>
  <c r="S35" i="1" s="1"/>
  <c r="R35" i="3"/>
  <c r="S35" i="3" s="1"/>
  <c r="S4" i="1"/>
  <c r="R4" i="1"/>
  <c r="H35" i="1"/>
  <c r="F35" i="1"/>
  <c r="J4" i="1"/>
  <c r="H4" i="1"/>
  <c r="F4" i="1"/>
  <c r="H35" i="3"/>
  <c r="F35" i="3"/>
  <c r="R4" i="3"/>
  <c r="S4" i="3"/>
  <c r="J4" i="3"/>
  <c r="H4" i="3"/>
  <c r="F4" i="3"/>
  <c r="L35" i="3"/>
  <c r="M75" i="2"/>
  <c r="M73" i="2"/>
  <c r="M72" i="2"/>
  <c r="M71" i="2"/>
  <c r="M70" i="2"/>
  <c r="M69" i="2"/>
  <c r="K66" i="2"/>
  <c r="M66" i="2" s="1"/>
  <c r="M65" i="2"/>
  <c r="K64" i="2"/>
  <c r="M64" i="2"/>
  <c r="M63" i="2"/>
  <c r="M62" i="2"/>
  <c r="M61" i="2"/>
  <c r="M60" i="2"/>
  <c r="M59" i="2"/>
  <c r="K58" i="2"/>
  <c r="M58" i="2"/>
  <c r="K57" i="2"/>
  <c r="M57" i="2" s="1"/>
  <c r="K56" i="2"/>
  <c r="M56" i="2" s="1"/>
  <c r="K55" i="2"/>
  <c r="M55" i="2" s="1"/>
  <c r="K54" i="2"/>
  <c r="M54" i="2"/>
  <c r="K53" i="2"/>
  <c r="M53" i="2" s="1"/>
  <c r="K52" i="2"/>
  <c r="M52" i="2" s="1"/>
  <c r="K51" i="2"/>
  <c r="M51" i="2" s="1"/>
  <c r="K50" i="2"/>
  <c r="M50" i="2"/>
  <c r="K49" i="2"/>
  <c r="M49" i="2" s="1"/>
  <c r="K48" i="2"/>
  <c r="M48" i="2" s="1"/>
  <c r="M47" i="2"/>
  <c r="M46" i="2"/>
  <c r="M45" i="2"/>
  <c r="J35" i="3"/>
  <c r="L35" i="1"/>
  <c r="J35" i="1"/>
  <c r="M37" i="2"/>
  <c r="M36" i="2"/>
  <c r="M35" i="2"/>
  <c r="M34" i="2"/>
  <c r="M33" i="2"/>
  <c r="M32" i="2"/>
  <c r="M31" i="2"/>
  <c r="M30" i="2"/>
  <c r="M29" i="2"/>
  <c r="M28" i="2"/>
  <c r="M27" i="2"/>
  <c r="M26" i="2"/>
  <c r="M22" i="2"/>
  <c r="M21" i="2"/>
  <c r="M20" i="2"/>
  <c r="M19" i="2"/>
  <c r="M18" i="2"/>
  <c r="K17" i="2"/>
  <c r="M17" i="2" s="1"/>
  <c r="M16" i="2"/>
  <c r="K16" i="2"/>
  <c r="K15" i="2"/>
  <c r="M15" i="2" s="1"/>
  <c r="K14" i="2"/>
  <c r="M14" i="2"/>
  <c r="K13" i="2"/>
  <c r="M13" i="2" s="1"/>
  <c r="K12" i="2"/>
  <c r="M12" i="2" s="1"/>
  <c r="K11" i="2"/>
  <c r="M11" i="2" s="1"/>
  <c r="K10" i="2"/>
  <c r="M10" i="2"/>
  <c r="K9" i="2"/>
  <c r="M9" i="2"/>
  <c r="M8" i="2"/>
  <c r="M7" i="2"/>
  <c r="M6" i="2"/>
  <c r="T35" i="3" l="1"/>
  <c r="T35" i="1"/>
  <c r="T4" i="1"/>
  <c r="T4" i="3"/>
</calcChain>
</file>

<file path=xl/sharedStrings.xml><?xml version="1.0" encoding="utf-8"?>
<sst xmlns="http://schemas.openxmlformats.org/spreadsheetml/2006/main" count="257" uniqueCount="58">
  <si>
    <t>Hoch</t>
  </si>
  <si>
    <t>Weit</t>
  </si>
  <si>
    <t>Kugel</t>
  </si>
  <si>
    <t>Diskus</t>
  </si>
  <si>
    <t>Speer</t>
  </si>
  <si>
    <t>Berechnung Frauen</t>
  </si>
  <si>
    <t>Berechnung Männer</t>
  </si>
  <si>
    <t>Leistung</t>
  </si>
  <si>
    <t>sec</t>
  </si>
  <si>
    <t>m</t>
  </si>
  <si>
    <t>Disziplin</t>
  </si>
  <si>
    <t>A-Wert</t>
  </si>
  <si>
    <t>B-Wert</t>
  </si>
  <si>
    <t>C-Wert</t>
  </si>
  <si>
    <t>1500st</t>
  </si>
  <si>
    <t>2000st</t>
  </si>
  <si>
    <t>3000st</t>
  </si>
  <si>
    <t>50h</t>
  </si>
  <si>
    <t>60h</t>
  </si>
  <si>
    <t>80h</t>
  </si>
  <si>
    <t>100h</t>
  </si>
  <si>
    <t>110h</t>
  </si>
  <si>
    <t>400h</t>
  </si>
  <si>
    <t>4*100</t>
  </si>
  <si>
    <t>4*400</t>
  </si>
  <si>
    <t>Stab</t>
  </si>
  <si>
    <t>Hammer</t>
  </si>
  <si>
    <t>Ball</t>
  </si>
  <si>
    <t>12min-Lauf</t>
  </si>
  <si>
    <t>Drei</t>
  </si>
  <si>
    <t>Formel / Resultat</t>
  </si>
  <si>
    <t>:</t>
  </si>
  <si>
    <t>.</t>
  </si>
  <si>
    <t>mm:ss.hh</t>
  </si>
  <si>
    <t>Format</t>
  </si>
  <si>
    <t>Name</t>
  </si>
  <si>
    <t>Vorname</t>
  </si>
  <si>
    <t>60m</t>
  </si>
  <si>
    <t>Weitsprung</t>
  </si>
  <si>
    <t>Ballwurf</t>
  </si>
  <si>
    <t>1000m-Lauf</t>
  </si>
  <si>
    <t>Total</t>
  </si>
  <si>
    <t>Pt.</t>
  </si>
  <si>
    <t>Pt</t>
  </si>
  <si>
    <t>Grossenbacher</t>
  </si>
  <si>
    <t>Jan-Patrick</t>
  </si>
  <si>
    <t>7a</t>
  </si>
  <si>
    <t>Rg</t>
  </si>
  <si>
    <t>Knaben Unterstufe</t>
  </si>
  <si>
    <t>Knaben Oberstufe</t>
  </si>
  <si>
    <t>Kl.</t>
  </si>
  <si>
    <t>80m</t>
  </si>
  <si>
    <t>Mädchen Unterstufe</t>
  </si>
  <si>
    <t>Annemarie</t>
  </si>
  <si>
    <t>Mädchen Oberstufe</t>
  </si>
  <si>
    <t>Schulsporttag XY</t>
  </si>
  <si>
    <t>Daten und Resultate eingeben / Danach alles markieren (bspw B4:T28) und nach Spalte T sortieren</t>
  </si>
  <si>
    <t>Daten und Resultate eingeben / Danach alles markieren (bspw B35:T59) und nach Spalte T sortieren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</si>
</sst>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1" formatCode="\(0\)"/>
    <numFmt numFmtId="172" formatCode="#.0"/>
    <numFmt numFmtId="173" formatCode="000"/>
    <numFmt numFmtId="174" formatCode="0.0"/>
    <numFmt numFmtId="175" formatCode="00"/>
  </numFmts>
  <fonts count="14" x14ac:knownFonts="1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sz val="8"/>
      <name val="Arial"/>
      <family val="2"/>
    </font>
    <font>
      <sz val="10"/>
      <name val="Arial"/>
      <family val="2"/>
    </font>
    <font>
      <sz val="8"/>
      <name val="Arial"/>
    </font>
    <font>
      <sz val="14"/>
      <name val="Arial"/>
      <family val="2"/>
    </font>
    <font>
      <b/>
      <i/>
      <sz val="14"/>
      <name val="Arial"/>
      <family val="2"/>
    </font>
    <font>
      <i/>
      <sz val="8"/>
      <name val="Arial"/>
      <family val="2"/>
    </font>
    <font>
      <b/>
      <sz val="8"/>
      <name val="Arial"/>
      <family val="2"/>
    </font>
    <font>
      <i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66FF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2">
    <xf numFmtId="0" fontId="0" fillId="0" borderId="0" xfId="0"/>
    <xf numFmtId="0" fontId="1" fillId="0" borderId="0" xfId="0" applyFont="1"/>
    <xf numFmtId="0" fontId="4" fillId="0" borderId="1" xfId="0" applyFont="1" applyBorder="1"/>
    <xf numFmtId="0" fontId="4" fillId="0" borderId="0" xfId="0" applyFont="1"/>
    <xf numFmtId="2" fontId="4" fillId="0" borderId="0" xfId="0" applyNumberFormat="1" applyFont="1"/>
    <xf numFmtId="0" fontId="4" fillId="0" borderId="1" xfId="0" applyFont="1" applyBorder="1" applyAlignment="1">
      <alignment horizontal="left" vertical="center"/>
    </xf>
    <xf numFmtId="0" fontId="4" fillId="0" borderId="1" xfId="0" applyNumberFormat="1" applyFont="1" applyBorder="1" applyAlignment="1">
      <alignment horizontal="left" vertical="center"/>
    </xf>
    <xf numFmtId="172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0" applyNumberFormat="1" applyFont="1" applyBorder="1" applyAlignment="1">
      <alignment horizontal="left" vertical="center" wrapText="1"/>
    </xf>
    <xf numFmtId="172" fontId="4" fillId="0" borderId="1" xfId="0" applyNumberFormat="1" applyFont="1" applyBorder="1" applyAlignment="1">
      <alignment horizontal="left" vertical="center" wrapText="1"/>
    </xf>
    <xf numFmtId="173" fontId="4" fillId="0" borderId="1" xfId="0" applyNumberFormat="1" applyFont="1" applyBorder="1" applyAlignment="1">
      <alignment horizontal="left" vertical="center" wrapText="1"/>
    </xf>
    <xf numFmtId="173" fontId="4" fillId="0" borderId="1" xfId="0" applyNumberFormat="1" applyFont="1" applyBorder="1" applyAlignment="1">
      <alignment horizontal="left" vertical="center"/>
    </xf>
    <xf numFmtId="174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wrapText="1"/>
    </xf>
    <xf numFmtId="0" fontId="4" fillId="0" borderId="1" xfId="0" applyNumberFormat="1" applyFont="1" applyBorder="1" applyAlignment="1">
      <alignment horizontal="left" wrapText="1"/>
    </xf>
    <xf numFmtId="173" fontId="4" fillId="0" borderId="1" xfId="0" applyNumberFormat="1" applyFont="1" applyBorder="1" applyAlignment="1">
      <alignment horizontal="left" wrapText="1"/>
    </xf>
    <xf numFmtId="174" fontId="4" fillId="0" borderId="1" xfId="0" applyNumberFormat="1" applyFont="1" applyBorder="1" applyAlignment="1">
      <alignment horizontal="left" wrapText="1"/>
    </xf>
    <xf numFmtId="0" fontId="4" fillId="2" borderId="0" xfId="0" applyFont="1" applyFill="1"/>
    <xf numFmtId="0" fontId="4" fillId="0" borderId="2" xfId="0" applyFont="1" applyBorder="1" applyAlignment="1">
      <alignment horizontal="left" vertical="center"/>
    </xf>
    <xf numFmtId="172" fontId="4" fillId="0" borderId="2" xfId="0" applyNumberFormat="1" applyFont="1" applyBorder="1" applyAlignment="1">
      <alignment horizontal="left" vertical="center"/>
    </xf>
    <xf numFmtId="0" fontId="4" fillId="2" borderId="1" xfId="0" applyFont="1" applyFill="1" applyBorder="1"/>
    <xf numFmtId="0" fontId="4" fillId="3" borderId="3" xfId="0" applyFont="1" applyFill="1" applyBorder="1" applyAlignment="1">
      <alignment horizontal="right" vertical="center"/>
    </xf>
    <xf numFmtId="0" fontId="4" fillId="3" borderId="1" xfId="0" applyFont="1" applyFill="1" applyBorder="1"/>
    <xf numFmtId="0" fontId="1" fillId="0" borderId="0" xfId="0" applyFont="1" applyFill="1" applyBorder="1" applyAlignment="1">
      <alignment horizontal="left" vertical="center"/>
    </xf>
    <xf numFmtId="0" fontId="4" fillId="4" borderId="1" xfId="0" applyFont="1" applyFill="1" applyBorder="1"/>
    <xf numFmtId="0" fontId="4" fillId="2" borderId="2" xfId="0" applyFont="1" applyFill="1" applyBorder="1" applyAlignment="1">
      <alignment horizontal="left" vertical="center"/>
    </xf>
    <xf numFmtId="175" fontId="4" fillId="2" borderId="2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 wrapText="1"/>
    </xf>
    <xf numFmtId="0" fontId="4" fillId="4" borderId="2" xfId="0" applyFont="1" applyFill="1" applyBorder="1"/>
    <xf numFmtId="0" fontId="4" fillId="0" borderId="2" xfId="0" applyNumberFormat="1" applyFont="1" applyBorder="1" applyAlignment="1">
      <alignment horizontal="left" vertical="center" wrapText="1"/>
    </xf>
    <xf numFmtId="0" fontId="2" fillId="0" borderId="0" xfId="0" applyFont="1" applyFill="1" applyAlignment="1">
      <alignment horizontal="center"/>
    </xf>
    <xf numFmtId="2" fontId="4" fillId="0" borderId="4" xfId="0" applyNumberFormat="1" applyFont="1" applyFill="1" applyBorder="1"/>
    <xf numFmtId="2" fontId="4" fillId="0" borderId="0" xfId="0" applyNumberFormat="1" applyFont="1" applyFill="1" applyBorder="1"/>
    <xf numFmtId="0" fontId="4" fillId="3" borderId="1" xfId="0" applyFont="1" applyFill="1" applyBorder="1" applyAlignment="1">
      <alignment horizontal="right" vertical="center"/>
    </xf>
    <xf numFmtId="0" fontId="1" fillId="0" borderId="0" xfId="0" applyFont="1" applyFill="1" applyBorder="1"/>
    <xf numFmtId="0" fontId="4" fillId="4" borderId="0" xfId="0" applyFont="1" applyFill="1" applyBorder="1"/>
    <xf numFmtId="0" fontId="4" fillId="2" borderId="5" xfId="0" applyFont="1" applyFill="1" applyBorder="1"/>
    <xf numFmtId="0" fontId="4" fillId="2" borderId="3" xfId="0" applyFont="1" applyFill="1" applyBorder="1"/>
    <xf numFmtId="0" fontId="4" fillId="0" borderId="1" xfId="0" applyFont="1" applyFill="1" applyBorder="1"/>
    <xf numFmtId="0" fontId="3" fillId="0" borderId="1" xfId="0" applyFont="1" applyFill="1" applyBorder="1"/>
    <xf numFmtId="2" fontId="4" fillId="0" borderId="1" xfId="0" applyNumberFormat="1" applyFont="1" applyFill="1" applyBorder="1"/>
    <xf numFmtId="2" fontId="4" fillId="0" borderId="6" xfId="0" applyNumberFormat="1" applyFont="1" applyFill="1" applyBorder="1"/>
    <xf numFmtId="2" fontId="4" fillId="0" borderId="7" xfId="0" applyNumberFormat="1" applyFont="1" applyFill="1" applyBorder="1"/>
    <xf numFmtId="0" fontId="2" fillId="0" borderId="0" xfId="0" applyFont="1" applyFill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0" xfId="0" applyFont="1" applyBorder="1"/>
    <xf numFmtId="0" fontId="3" fillId="0" borderId="0" xfId="0" applyFont="1" applyFill="1" applyBorder="1"/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vertical="center"/>
    </xf>
    <xf numFmtId="0" fontId="3" fillId="0" borderId="0" xfId="0" applyFont="1" applyFill="1"/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Alignment="1">
      <alignment horizontal="right"/>
    </xf>
    <xf numFmtId="0" fontId="3" fillId="0" borderId="0" xfId="0" applyFont="1" applyFill="1" applyBorder="1" applyAlignment="1">
      <alignment horizontal="left"/>
    </xf>
    <xf numFmtId="175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/>
    </xf>
    <xf numFmtId="0" fontId="9" fillId="0" borderId="0" xfId="0" applyFont="1" applyFill="1" applyAlignment="1">
      <alignment horizontal="right"/>
    </xf>
    <xf numFmtId="0" fontId="8" fillId="0" borderId="0" xfId="0" applyFont="1" applyFill="1" applyAlignment="1">
      <alignment horizontal="left"/>
    </xf>
    <xf numFmtId="0" fontId="8" fillId="0" borderId="0" xfId="0" applyFont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8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Fill="1" applyAlignment="1">
      <alignment horizontal="left"/>
    </xf>
    <xf numFmtId="171" fontId="8" fillId="0" borderId="0" xfId="0" applyNumberFormat="1" applyFont="1" applyFill="1" applyBorder="1" applyAlignment="1">
      <alignment horizontal="left" vertical="center"/>
    </xf>
    <xf numFmtId="0" fontId="9" fillId="0" borderId="0" xfId="0" applyFont="1" applyAlignment="1">
      <alignment horizontal="right"/>
    </xf>
    <xf numFmtId="0" fontId="2" fillId="0" borderId="0" xfId="0" applyFont="1" applyFill="1"/>
    <xf numFmtId="0" fontId="7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10" fillId="0" borderId="0" xfId="0" applyFont="1" applyFill="1" applyAlignment="1">
      <alignment horizontal="left"/>
    </xf>
    <xf numFmtId="0" fontId="6" fillId="0" borderId="0" xfId="0" applyFont="1"/>
    <xf numFmtId="0" fontId="12" fillId="0" borderId="0" xfId="0" applyFont="1"/>
    <xf numFmtId="175" fontId="3" fillId="0" borderId="0" xfId="0" applyNumberFormat="1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/>
    </xf>
    <xf numFmtId="2" fontId="2" fillId="0" borderId="0" xfId="0" applyNumberFormat="1" applyFont="1" applyFill="1" applyAlignment="1">
      <alignment horizontal="right"/>
    </xf>
    <xf numFmtId="2" fontId="3" fillId="0" borderId="0" xfId="0" applyNumberFormat="1" applyFont="1" applyFill="1" applyAlignment="1">
      <alignment horizontal="right"/>
    </xf>
    <xf numFmtId="2" fontId="3" fillId="0" borderId="0" xfId="0" applyNumberFormat="1" applyFont="1" applyFill="1" applyBorder="1" applyAlignment="1">
      <alignment horizontal="right"/>
    </xf>
    <xf numFmtId="2" fontId="3" fillId="0" borderId="0" xfId="0" applyNumberFormat="1" applyFont="1" applyAlignment="1">
      <alignment horizontal="right"/>
    </xf>
    <xf numFmtId="2" fontId="3" fillId="0" borderId="0" xfId="0" applyNumberFormat="1" applyFont="1" applyFill="1" applyBorder="1" applyAlignment="1">
      <alignment horizontal="right" vertical="center"/>
    </xf>
    <xf numFmtId="0" fontId="2" fillId="0" borderId="0" xfId="0" applyNumberFormat="1" applyFont="1" applyFill="1" applyAlignment="1">
      <alignment horizontal="center"/>
    </xf>
    <xf numFmtId="0" fontId="3" fillId="0" borderId="0" xfId="0" applyNumberFormat="1" applyFont="1" applyFill="1" applyBorder="1"/>
    <xf numFmtId="0" fontId="3" fillId="0" borderId="0" xfId="0" applyNumberFormat="1" applyFont="1" applyFill="1" applyBorder="1" applyAlignment="1">
      <alignment horizontal="right" vertical="center"/>
    </xf>
    <xf numFmtId="0" fontId="3" fillId="0" borderId="0" xfId="0" applyNumberFormat="1" applyFont="1"/>
    <xf numFmtId="0" fontId="8" fillId="0" borderId="0" xfId="0" applyNumberFormat="1" applyFont="1" applyFill="1" applyBorder="1" applyAlignment="1"/>
    <xf numFmtId="0" fontId="3" fillId="0" borderId="0" xfId="0" applyNumberFormat="1" applyFont="1" applyBorder="1"/>
    <xf numFmtId="171" fontId="3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Alignment="1">
      <alignment horizontal="right"/>
    </xf>
    <xf numFmtId="0" fontId="9" fillId="0" borderId="0" xfId="0" applyNumberFormat="1" applyFont="1" applyFill="1" applyAlignment="1">
      <alignment horizontal="right"/>
    </xf>
    <xf numFmtId="0" fontId="9" fillId="0" borderId="0" xfId="0" applyNumberFormat="1" applyFont="1" applyFill="1" applyBorder="1" applyAlignment="1">
      <alignment horizontal="right"/>
    </xf>
    <xf numFmtId="0" fontId="9" fillId="0" borderId="0" xfId="0" applyNumberFormat="1" applyFont="1" applyAlignment="1">
      <alignment horizontal="right"/>
    </xf>
    <xf numFmtId="2" fontId="2" fillId="0" borderId="0" xfId="0" applyNumberFormat="1" applyFont="1" applyFill="1" applyAlignment="1">
      <alignment horizontal="center"/>
    </xf>
    <xf numFmtId="2" fontId="3" fillId="0" borderId="0" xfId="0" applyNumberFormat="1" applyFont="1" applyFill="1" applyBorder="1"/>
    <xf numFmtId="2" fontId="3" fillId="0" borderId="0" xfId="0" applyNumberFormat="1" applyFont="1" applyFill="1"/>
    <xf numFmtId="2" fontId="3" fillId="0" borderId="0" xfId="0" applyNumberFormat="1" applyFont="1"/>
    <xf numFmtId="0" fontId="3" fillId="0" borderId="0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right"/>
    </xf>
    <xf numFmtId="2" fontId="4" fillId="2" borderId="2" xfId="0" applyNumberFormat="1" applyFont="1" applyFill="1" applyBorder="1" applyAlignment="1">
      <alignment horizontal="right"/>
    </xf>
    <xf numFmtId="2" fontId="4" fillId="2" borderId="5" xfId="0" applyNumberFormat="1" applyFont="1" applyFill="1" applyBorder="1" applyAlignment="1">
      <alignment horizontal="right"/>
    </xf>
    <xf numFmtId="2" fontId="4" fillId="2" borderId="3" xfId="0" applyNumberFormat="1" applyFont="1" applyFill="1" applyBorder="1" applyAlignment="1">
      <alignment horizontal="right"/>
    </xf>
    <xf numFmtId="175" fontId="4" fillId="2" borderId="1" xfId="0" applyNumberFormat="1" applyFont="1" applyFill="1" applyBorder="1" applyAlignment="1">
      <alignment horizontal="center" vertical="center"/>
    </xf>
    <xf numFmtId="0" fontId="11" fillId="5" borderId="0" xfId="0" applyFont="1" applyFill="1"/>
    <xf numFmtId="0" fontId="12" fillId="5" borderId="0" xfId="0" applyFont="1" applyFill="1"/>
    <xf numFmtId="0" fontId="12" fillId="5" borderId="0" xfId="0" applyFont="1" applyFill="1" applyAlignment="1">
      <alignment horizontal="right"/>
    </xf>
    <xf numFmtId="2" fontId="12" fillId="5" borderId="0" xfId="0" applyNumberFormat="1" applyFont="1" applyFill="1" applyAlignment="1">
      <alignment horizontal="right"/>
    </xf>
    <xf numFmtId="0" fontId="13" fillId="5" borderId="0" xfId="0" applyFont="1" applyFill="1" applyAlignment="1">
      <alignment horizontal="left"/>
    </xf>
    <xf numFmtId="0" fontId="12" fillId="5" borderId="0" xfId="0" applyFont="1" applyFill="1" applyAlignment="1">
      <alignment horizontal="left"/>
    </xf>
    <xf numFmtId="0" fontId="11" fillId="5" borderId="0" xfId="0" applyNumberFormat="1" applyFont="1" applyFill="1" applyAlignment="1">
      <alignment horizontal="right"/>
    </xf>
    <xf numFmtId="0" fontId="11" fillId="6" borderId="0" xfId="0" applyFont="1" applyFill="1"/>
    <xf numFmtId="0" fontId="12" fillId="6" borderId="0" xfId="0" applyFont="1" applyFill="1"/>
    <xf numFmtId="0" fontId="12" fillId="6" borderId="0" xfId="0" applyFont="1" applyFill="1" applyAlignment="1">
      <alignment horizontal="right"/>
    </xf>
    <xf numFmtId="2" fontId="12" fillId="6" borderId="0" xfId="0" applyNumberFormat="1" applyFont="1" applyFill="1" applyAlignment="1">
      <alignment horizontal="right"/>
    </xf>
    <xf numFmtId="0" fontId="13" fillId="6" borderId="0" xfId="0" applyFont="1" applyFill="1" applyAlignment="1">
      <alignment horizontal="left"/>
    </xf>
    <xf numFmtId="0" fontId="12" fillId="6" borderId="0" xfId="0" applyFont="1" applyFill="1" applyAlignment="1">
      <alignment horizontal="left"/>
    </xf>
    <xf numFmtId="0" fontId="13" fillId="6" borderId="0" xfId="0" applyFont="1" applyFill="1" applyBorder="1" applyAlignment="1">
      <alignment horizontal="left"/>
    </xf>
    <xf numFmtId="2" fontId="12" fillId="6" borderId="0" xfId="0" applyNumberFormat="1" applyFont="1" applyFill="1" applyBorder="1"/>
    <xf numFmtId="0" fontId="12" fillId="6" borderId="0" xfId="0" applyNumberFormat="1" applyFont="1" applyFill="1" applyBorder="1"/>
    <xf numFmtId="0" fontId="12" fillId="6" borderId="0" xfId="0" applyFont="1" applyFill="1" applyBorder="1"/>
    <xf numFmtId="2" fontId="12" fillId="6" borderId="0" xfId="0" applyNumberFormat="1" applyFont="1" applyFill="1" applyBorder="1" applyAlignment="1">
      <alignment horizontal="left"/>
    </xf>
    <xf numFmtId="0" fontId="11" fillId="6" borderId="0" xfId="0" applyNumberFormat="1" applyFont="1" applyFill="1" applyAlignment="1">
      <alignment horizontal="right"/>
    </xf>
    <xf numFmtId="2" fontId="12" fillId="5" borderId="0" xfId="0" applyNumberFormat="1" applyFont="1" applyFill="1"/>
    <xf numFmtId="0" fontId="12" fillId="5" borderId="0" xfId="0" applyNumberFormat="1" applyFont="1" applyFill="1"/>
    <xf numFmtId="0" fontId="11" fillId="7" borderId="0" xfId="0" applyFont="1" applyFill="1"/>
    <xf numFmtId="0" fontId="12" fillId="7" borderId="0" xfId="0" applyFont="1" applyFill="1"/>
    <xf numFmtId="0" fontId="12" fillId="7" borderId="0" xfId="0" applyFont="1" applyFill="1" applyAlignment="1">
      <alignment horizontal="right"/>
    </xf>
    <xf numFmtId="2" fontId="12" fillId="7" borderId="0" xfId="0" applyNumberFormat="1" applyFont="1" applyFill="1" applyAlignment="1">
      <alignment horizontal="right"/>
    </xf>
    <xf numFmtId="0" fontId="13" fillId="7" borderId="0" xfId="0" applyFont="1" applyFill="1" applyAlignment="1">
      <alignment horizontal="left"/>
    </xf>
    <xf numFmtId="0" fontId="13" fillId="7" borderId="0" xfId="0" applyFont="1" applyFill="1" applyBorder="1" applyAlignment="1">
      <alignment horizontal="left"/>
    </xf>
    <xf numFmtId="2" fontId="12" fillId="7" borderId="0" xfId="0" applyNumberFormat="1" applyFont="1" applyFill="1" applyBorder="1"/>
    <xf numFmtId="0" fontId="12" fillId="7" borderId="0" xfId="0" applyNumberFormat="1" applyFont="1" applyFill="1" applyBorder="1"/>
    <xf numFmtId="0" fontId="12" fillId="7" borderId="0" xfId="0" applyFont="1" applyFill="1" applyBorder="1"/>
    <xf numFmtId="2" fontId="13" fillId="7" borderId="0" xfId="0" applyNumberFormat="1" applyFont="1" applyFill="1" applyBorder="1" applyAlignment="1">
      <alignment horizontal="left"/>
    </xf>
    <xf numFmtId="0" fontId="11" fillId="7" borderId="0" xfId="0" applyNumberFormat="1" applyFont="1" applyFill="1" applyAlignment="1">
      <alignment horizontal="right"/>
    </xf>
    <xf numFmtId="0" fontId="11" fillId="8" borderId="0" xfId="0" applyFont="1" applyFill="1"/>
    <xf numFmtId="0" fontId="12" fillId="8" borderId="0" xfId="0" applyFont="1" applyFill="1"/>
    <xf numFmtId="0" fontId="12" fillId="8" borderId="0" xfId="0" applyFont="1" applyFill="1" applyAlignment="1">
      <alignment horizontal="right"/>
    </xf>
    <xf numFmtId="2" fontId="12" fillId="8" borderId="0" xfId="0" applyNumberFormat="1" applyFont="1" applyFill="1" applyAlignment="1">
      <alignment horizontal="right"/>
    </xf>
    <xf numFmtId="0" fontId="13" fillId="8" borderId="0" xfId="0" applyFont="1" applyFill="1" applyAlignment="1">
      <alignment horizontal="left"/>
    </xf>
    <xf numFmtId="2" fontId="12" fillId="8" borderId="0" xfId="0" applyNumberFormat="1" applyFont="1" applyFill="1"/>
    <xf numFmtId="0" fontId="12" fillId="8" borderId="0" xfId="0" applyNumberFormat="1" applyFont="1" applyFill="1"/>
    <xf numFmtId="0" fontId="11" fillId="8" borderId="0" xfId="0" applyNumberFormat="1" applyFont="1" applyFill="1" applyAlignment="1">
      <alignment horizontal="right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66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tabSelected="1" zoomScale="115" zoomScaleNormal="115" workbookViewId="0">
      <selection activeCell="E6" sqref="E6"/>
    </sheetView>
  </sheetViews>
  <sheetFormatPr baseColWidth="10" defaultRowHeight="11.25" x14ac:dyDescent="0.2"/>
  <cols>
    <col min="1" max="1" width="3.140625" style="45" customWidth="1"/>
    <col min="2" max="2" width="14.140625" style="45" customWidth="1"/>
    <col min="3" max="3" width="10.7109375" style="45" customWidth="1"/>
    <col min="4" max="4" width="4.42578125" style="46" customWidth="1"/>
    <col min="5" max="5" width="5.7109375" style="79" customWidth="1"/>
    <col min="6" max="6" width="5.28515625" style="63" customWidth="1"/>
    <col min="7" max="7" width="8.85546875" style="79" bestFit="1" customWidth="1"/>
    <col min="8" max="8" width="5.28515625" style="64" customWidth="1"/>
    <col min="9" max="9" width="6.85546875" style="79" bestFit="1" customWidth="1"/>
    <col min="10" max="10" width="5.28515625" style="63" customWidth="1"/>
    <col min="11" max="11" width="4.7109375" style="95" customWidth="1"/>
    <col min="12" max="12" width="5.28515625" style="84" customWidth="1"/>
    <col min="13" max="13" width="2.5703125" style="45" customWidth="1"/>
    <col min="14" max="14" width="1.140625" style="45" customWidth="1"/>
    <col min="15" max="15" width="2.42578125" style="45" customWidth="1"/>
    <col min="16" max="16" width="1.140625" style="45" customWidth="1"/>
    <col min="17" max="17" width="2.42578125" style="45" customWidth="1"/>
    <col min="18" max="18" width="7" style="45" hidden="1" customWidth="1"/>
    <col min="19" max="19" width="5.7109375" style="64" customWidth="1"/>
    <col min="20" max="20" width="6.42578125" style="91" bestFit="1" customWidth="1"/>
    <col min="21" max="16384" width="11.42578125" style="45"/>
  </cols>
  <sheetData>
    <row r="1" spans="1:20" s="72" customFormat="1" ht="18.75" x14ac:dyDescent="0.3">
      <c r="A1" s="68" t="s">
        <v>55</v>
      </c>
      <c r="B1" s="31"/>
      <c r="C1" s="31"/>
      <c r="D1" s="44"/>
      <c r="E1" s="76"/>
      <c r="F1" s="69"/>
      <c r="G1" s="76"/>
      <c r="H1" s="70"/>
      <c r="I1" s="76"/>
      <c r="J1" s="71"/>
      <c r="K1" s="92"/>
      <c r="L1" s="81"/>
      <c r="M1" s="31"/>
      <c r="N1" s="31"/>
      <c r="O1" s="31"/>
      <c r="P1" s="31"/>
      <c r="Q1" s="31"/>
      <c r="R1" s="31"/>
      <c r="S1" s="70"/>
      <c r="T1" s="88"/>
    </row>
    <row r="2" spans="1:20" s="73" customFormat="1" ht="15.75" x14ac:dyDescent="0.25">
      <c r="A2" s="109" t="s">
        <v>48</v>
      </c>
      <c r="B2" s="110"/>
      <c r="C2" s="110"/>
      <c r="D2" s="111"/>
      <c r="E2" s="112"/>
      <c r="F2" s="113"/>
      <c r="G2" s="112"/>
      <c r="H2" s="114"/>
      <c r="I2" s="112"/>
      <c r="J2" s="115"/>
      <c r="K2" s="116"/>
      <c r="L2" s="117"/>
      <c r="M2" s="118"/>
      <c r="N2" s="118"/>
      <c r="O2" s="118"/>
      <c r="P2" s="118"/>
      <c r="Q2" s="118"/>
      <c r="R2" s="118"/>
      <c r="S2" s="119"/>
      <c r="T2" s="120"/>
    </row>
    <row r="3" spans="1:20" x14ac:dyDescent="0.2">
      <c r="A3" s="45" t="s">
        <v>47</v>
      </c>
      <c r="B3" s="45" t="s">
        <v>35</v>
      </c>
      <c r="C3" s="45" t="s">
        <v>36</v>
      </c>
      <c r="D3" s="46" t="s">
        <v>50</v>
      </c>
      <c r="E3" s="77" t="s">
        <v>37</v>
      </c>
      <c r="F3" s="62" t="s">
        <v>42</v>
      </c>
      <c r="G3" s="77" t="s">
        <v>38</v>
      </c>
      <c r="H3" s="65" t="s">
        <v>43</v>
      </c>
      <c r="I3" s="77" t="s">
        <v>39</v>
      </c>
      <c r="J3" s="62" t="s">
        <v>43</v>
      </c>
      <c r="K3" s="93"/>
      <c r="L3" s="82"/>
      <c r="M3" s="96" t="s">
        <v>40</v>
      </c>
      <c r="N3" s="96"/>
      <c r="O3" s="96"/>
      <c r="P3" s="96"/>
      <c r="Q3" s="96"/>
      <c r="R3" s="96"/>
      <c r="S3" s="54"/>
      <c r="T3" s="89" t="s">
        <v>41</v>
      </c>
    </row>
    <row r="4" spans="1:20" x14ac:dyDescent="0.2">
      <c r="A4" s="45">
        <v>1</v>
      </c>
      <c r="B4" s="45" t="s">
        <v>44</v>
      </c>
      <c r="C4" s="45" t="s">
        <v>45</v>
      </c>
      <c r="D4" s="46" t="s">
        <v>46</v>
      </c>
      <c r="E4" s="77">
        <v>9.2200000000000006</v>
      </c>
      <c r="F4" s="66">
        <f>INT(6.30895*((1460-E4*100)/100)^2.5)</f>
        <v>423</v>
      </c>
      <c r="G4" s="78">
        <v>4.66</v>
      </c>
      <c r="H4" s="66">
        <f>INT(136.08157*((100*G4-130)/100)^1.1)</f>
        <v>516</v>
      </c>
      <c r="I4" s="78">
        <v>31.55</v>
      </c>
      <c r="J4" s="66">
        <f>INT(19.191528*((100*I4-600)/100)^0.9)</f>
        <v>354</v>
      </c>
      <c r="K4" s="80"/>
      <c r="L4" s="83"/>
      <c r="M4" s="55">
        <v>3</v>
      </c>
      <c r="N4" s="56" t="s">
        <v>31</v>
      </c>
      <c r="O4" s="55">
        <v>4</v>
      </c>
      <c r="P4" s="56" t="s">
        <v>32</v>
      </c>
      <c r="Q4" s="55">
        <v>5</v>
      </c>
      <c r="R4" s="48">
        <f>(6000*M4)+(100*O4)+Q4</f>
        <v>18405</v>
      </c>
      <c r="S4" s="66">
        <f>INT(0.0068251*((32581-R4)/100)^2.3)</f>
        <v>606</v>
      </c>
      <c r="T4" s="89">
        <f>SUM(F4+H4+J4+S4)</f>
        <v>1899</v>
      </c>
    </row>
    <row r="5" spans="1:20" x14ac:dyDescent="0.2">
      <c r="A5" s="45">
        <v>2</v>
      </c>
      <c r="E5" s="77"/>
      <c r="F5" s="66"/>
      <c r="G5" s="78"/>
      <c r="H5" s="66"/>
      <c r="I5" s="78"/>
      <c r="J5" s="66"/>
      <c r="K5" s="80"/>
      <c r="L5" s="83"/>
      <c r="M5" s="74"/>
      <c r="N5" s="49"/>
      <c r="O5" s="74"/>
      <c r="P5" s="49"/>
      <c r="Q5" s="74"/>
      <c r="R5" s="48"/>
      <c r="S5" s="66"/>
      <c r="T5" s="89"/>
    </row>
    <row r="6" spans="1:20" x14ac:dyDescent="0.2">
      <c r="A6" s="45">
        <v>3</v>
      </c>
      <c r="E6" s="77"/>
      <c r="F6" s="66"/>
      <c r="G6" s="78"/>
      <c r="H6" s="66"/>
      <c r="I6" s="78"/>
      <c r="J6" s="66"/>
      <c r="K6" s="80"/>
      <c r="L6" s="83"/>
      <c r="M6" s="74"/>
      <c r="N6" s="49"/>
      <c r="O6" s="74"/>
      <c r="P6" s="49"/>
      <c r="Q6" s="74"/>
      <c r="R6" s="48"/>
      <c r="S6" s="66"/>
      <c r="T6" s="89"/>
    </row>
    <row r="7" spans="1:20" x14ac:dyDescent="0.2">
      <c r="A7" s="45">
        <v>4</v>
      </c>
      <c r="E7" s="77"/>
      <c r="F7" s="66"/>
      <c r="G7" s="78"/>
      <c r="H7" s="66"/>
      <c r="I7" s="78"/>
      <c r="J7" s="66"/>
      <c r="K7" s="80"/>
      <c r="L7" s="83"/>
      <c r="M7" s="74"/>
      <c r="N7" s="49"/>
      <c r="O7" s="74"/>
      <c r="P7" s="49"/>
      <c r="Q7" s="74"/>
      <c r="R7" s="48"/>
      <c r="S7" s="66"/>
      <c r="T7" s="89"/>
    </row>
    <row r="8" spans="1:20" x14ac:dyDescent="0.2">
      <c r="A8" s="45">
        <v>5</v>
      </c>
      <c r="E8" s="77"/>
      <c r="F8" s="66"/>
      <c r="G8" s="78"/>
      <c r="H8" s="66"/>
      <c r="I8" s="78"/>
      <c r="J8" s="66"/>
      <c r="K8" s="80"/>
      <c r="L8" s="83"/>
      <c r="M8" s="74"/>
      <c r="N8" s="49"/>
      <c r="O8" s="74"/>
      <c r="P8" s="49"/>
      <c r="Q8" s="74"/>
      <c r="R8" s="48"/>
      <c r="S8" s="66"/>
      <c r="T8" s="89"/>
    </row>
    <row r="9" spans="1:20" x14ac:dyDescent="0.2">
      <c r="A9" s="45">
        <v>6</v>
      </c>
      <c r="E9" s="77"/>
      <c r="F9" s="62"/>
      <c r="G9" s="77"/>
      <c r="H9" s="65"/>
      <c r="I9" s="77"/>
      <c r="J9" s="60"/>
      <c r="K9" s="94"/>
      <c r="L9" s="82"/>
      <c r="M9" s="48"/>
      <c r="N9" s="48"/>
      <c r="O9" s="48"/>
      <c r="P9" s="48"/>
      <c r="Q9" s="48"/>
      <c r="R9" s="48"/>
      <c r="S9" s="54"/>
      <c r="T9" s="89"/>
    </row>
    <row r="10" spans="1:20" x14ac:dyDescent="0.2">
      <c r="A10" s="45">
        <v>7</v>
      </c>
      <c r="E10" s="77"/>
      <c r="F10" s="62"/>
      <c r="G10" s="77"/>
      <c r="H10" s="65"/>
      <c r="I10" s="77"/>
      <c r="J10" s="60"/>
      <c r="K10" s="94"/>
      <c r="L10" s="82"/>
      <c r="M10" s="48"/>
      <c r="N10" s="48"/>
      <c r="O10" s="48"/>
      <c r="P10" s="48"/>
      <c r="Q10" s="48"/>
      <c r="R10" s="48"/>
      <c r="S10" s="54"/>
      <c r="T10" s="89"/>
    </row>
    <row r="11" spans="1:20" x14ac:dyDescent="0.2">
      <c r="A11" s="45">
        <v>8</v>
      </c>
      <c r="E11" s="77"/>
      <c r="F11" s="62"/>
      <c r="G11" s="77"/>
      <c r="H11" s="65"/>
      <c r="I11" s="77"/>
      <c r="J11" s="60"/>
      <c r="K11" s="94"/>
      <c r="L11" s="82"/>
      <c r="M11" s="48"/>
      <c r="N11" s="48"/>
      <c r="O11" s="48"/>
      <c r="P11" s="48"/>
      <c r="Q11" s="48"/>
      <c r="R11" s="48"/>
      <c r="S11" s="54"/>
      <c r="T11" s="89"/>
    </row>
    <row r="12" spans="1:20" x14ac:dyDescent="0.2">
      <c r="A12" s="48">
        <v>9</v>
      </c>
      <c r="B12" s="49"/>
      <c r="E12" s="77"/>
      <c r="F12" s="62"/>
      <c r="G12" s="77"/>
      <c r="H12" s="65"/>
      <c r="I12" s="77"/>
      <c r="J12" s="60"/>
      <c r="K12" s="94"/>
      <c r="L12" s="82"/>
      <c r="M12" s="58"/>
      <c r="N12" s="58"/>
      <c r="O12" s="58"/>
      <c r="P12" s="58"/>
      <c r="Q12" s="58"/>
      <c r="R12" s="48"/>
      <c r="S12" s="49"/>
      <c r="T12" s="90"/>
    </row>
    <row r="13" spans="1:20" s="51" customFormat="1" x14ac:dyDescent="0.2">
      <c r="A13" s="48">
        <v>10</v>
      </c>
      <c r="C13" s="45"/>
      <c r="D13" s="46"/>
      <c r="E13" s="77"/>
      <c r="F13" s="62"/>
      <c r="G13" s="77"/>
      <c r="H13" s="65"/>
      <c r="I13" s="77"/>
      <c r="J13" s="60"/>
      <c r="K13" s="94"/>
      <c r="L13" s="82"/>
      <c r="M13" s="48"/>
      <c r="N13" s="48"/>
      <c r="O13" s="48"/>
      <c r="P13" s="48"/>
      <c r="Q13" s="48"/>
      <c r="R13" s="48"/>
      <c r="S13" s="54"/>
      <c r="T13" s="90"/>
    </row>
    <row r="14" spans="1:20" x14ac:dyDescent="0.2">
      <c r="A14" s="45">
        <v>11</v>
      </c>
    </row>
    <row r="15" spans="1:20" x14ac:dyDescent="0.2">
      <c r="A15" s="45">
        <v>12</v>
      </c>
    </row>
    <row r="16" spans="1:20" x14ac:dyDescent="0.2">
      <c r="A16" s="45">
        <v>13</v>
      </c>
    </row>
    <row r="17" spans="1:7" x14ac:dyDescent="0.2">
      <c r="A17" s="45">
        <v>14</v>
      </c>
      <c r="C17" s="52"/>
      <c r="D17" s="50"/>
      <c r="E17" s="80"/>
      <c r="F17" s="57"/>
      <c r="G17" s="80"/>
    </row>
    <row r="18" spans="1:7" x14ac:dyDescent="0.2">
      <c r="A18" s="45">
        <v>15</v>
      </c>
      <c r="C18" s="51"/>
      <c r="D18" s="53"/>
      <c r="E18" s="77"/>
      <c r="F18" s="60"/>
      <c r="G18" s="77"/>
    </row>
    <row r="19" spans="1:7" x14ac:dyDescent="0.2">
      <c r="A19" s="45">
        <v>16</v>
      </c>
    </row>
    <row r="20" spans="1:7" x14ac:dyDescent="0.2">
      <c r="A20" s="45">
        <v>17</v>
      </c>
    </row>
    <row r="21" spans="1:7" x14ac:dyDescent="0.2">
      <c r="A21" s="45">
        <v>18</v>
      </c>
    </row>
    <row r="22" spans="1:7" x14ac:dyDescent="0.2">
      <c r="A22" s="48">
        <v>19</v>
      </c>
    </row>
    <row r="23" spans="1:7" x14ac:dyDescent="0.2">
      <c r="A23" s="48">
        <v>20</v>
      </c>
    </row>
    <row r="24" spans="1:7" x14ac:dyDescent="0.2">
      <c r="A24" s="45">
        <v>21</v>
      </c>
    </row>
    <row r="25" spans="1:7" x14ac:dyDescent="0.2">
      <c r="A25" s="45">
        <v>22</v>
      </c>
    </row>
    <row r="26" spans="1:7" x14ac:dyDescent="0.2">
      <c r="A26" s="45">
        <v>23</v>
      </c>
    </row>
    <row r="27" spans="1:7" x14ac:dyDescent="0.2">
      <c r="A27" s="45">
        <v>24</v>
      </c>
    </row>
    <row r="28" spans="1:7" x14ac:dyDescent="0.2">
      <c r="A28" s="45">
        <v>25</v>
      </c>
      <c r="F28" s="57"/>
      <c r="G28" s="80"/>
    </row>
    <row r="29" spans="1:7" x14ac:dyDescent="0.2">
      <c r="F29" s="60"/>
      <c r="G29" s="77"/>
    </row>
    <row r="30" spans="1:7" x14ac:dyDescent="0.2">
      <c r="B30" s="45" t="s">
        <v>56</v>
      </c>
    </row>
    <row r="33" spans="1:23" s="73" customFormat="1" ht="15.75" x14ac:dyDescent="0.25">
      <c r="A33" s="102" t="s">
        <v>49</v>
      </c>
      <c r="B33" s="103"/>
      <c r="C33" s="103"/>
      <c r="D33" s="104"/>
      <c r="E33" s="105"/>
      <c r="F33" s="106"/>
      <c r="G33" s="105"/>
      <c r="H33" s="107"/>
      <c r="I33" s="105"/>
      <c r="J33" s="106"/>
      <c r="K33" s="121"/>
      <c r="L33" s="122"/>
      <c r="M33" s="103"/>
      <c r="N33" s="103"/>
      <c r="O33" s="103"/>
      <c r="P33" s="103"/>
      <c r="Q33" s="103"/>
      <c r="R33" s="103"/>
      <c r="S33" s="107"/>
      <c r="T33" s="108"/>
    </row>
    <row r="34" spans="1:23" x14ac:dyDescent="0.2">
      <c r="A34" s="45" t="s">
        <v>47</v>
      </c>
      <c r="B34" s="45" t="s">
        <v>35</v>
      </c>
      <c r="C34" s="45" t="s">
        <v>36</v>
      </c>
      <c r="D34" s="46" t="s">
        <v>50</v>
      </c>
      <c r="E34" s="77" t="s">
        <v>51</v>
      </c>
      <c r="F34" s="62" t="s">
        <v>42</v>
      </c>
      <c r="G34" s="77" t="s">
        <v>0</v>
      </c>
      <c r="H34" s="65" t="s">
        <v>43</v>
      </c>
      <c r="I34" s="77" t="s">
        <v>2</v>
      </c>
      <c r="J34" s="62" t="s">
        <v>43</v>
      </c>
      <c r="K34" s="93" t="s">
        <v>4</v>
      </c>
      <c r="L34" s="85" t="s">
        <v>43</v>
      </c>
      <c r="M34" s="96" t="s">
        <v>40</v>
      </c>
      <c r="N34" s="96"/>
      <c r="O34" s="96"/>
      <c r="P34" s="96"/>
      <c r="Q34" s="96"/>
      <c r="R34" s="96"/>
      <c r="S34" s="54"/>
      <c r="T34" s="89" t="s">
        <v>41</v>
      </c>
      <c r="U34" s="51"/>
    </row>
    <row r="35" spans="1:23" x14ac:dyDescent="0.2">
      <c r="A35" s="45">
        <v>1</v>
      </c>
      <c r="B35" s="45" t="s">
        <v>44</v>
      </c>
      <c r="C35" s="51" t="s">
        <v>45</v>
      </c>
      <c r="D35" s="53" t="s">
        <v>46</v>
      </c>
      <c r="E35" s="78">
        <v>9.41</v>
      </c>
      <c r="F35" s="87">
        <f>INT(3.80423*((1820-100*E35)/100)^2.5)</f>
        <v>871</v>
      </c>
      <c r="G35" s="78">
        <v>1.94</v>
      </c>
      <c r="H35" s="87">
        <f>INT(732.15375*((100*G35-75)/100)^1)</f>
        <v>871</v>
      </c>
      <c r="I35" s="78">
        <v>8.44</v>
      </c>
      <c r="J35" s="87">
        <f>INT(82.491673*((100*I35-178)/100)^0.9)</f>
        <v>454</v>
      </c>
      <c r="K35" s="80">
        <v>31.31</v>
      </c>
      <c r="L35" s="87">
        <f>INT(23.247477*((100*K35-602)/100)^0.9)</f>
        <v>425</v>
      </c>
      <c r="M35" s="55">
        <v>2</v>
      </c>
      <c r="N35" s="56" t="s">
        <v>31</v>
      </c>
      <c r="O35" s="55">
        <v>55</v>
      </c>
      <c r="P35" s="56" t="s">
        <v>32</v>
      </c>
      <c r="Q35" s="55">
        <v>1</v>
      </c>
      <c r="R35" s="48">
        <f>(6000*M35)+(100*O35)+Q35</f>
        <v>17501</v>
      </c>
      <c r="S35" s="66">
        <f>INT(0.0068251*((32581-R35)/100)^2.3)</f>
        <v>698</v>
      </c>
      <c r="T35" s="89">
        <f>SUM(F35+H35+J35+S35)</f>
        <v>2894</v>
      </c>
      <c r="U35" s="51"/>
    </row>
    <row r="36" spans="1:23" x14ac:dyDescent="0.2">
      <c r="A36" s="45">
        <v>2</v>
      </c>
      <c r="E36" s="77"/>
      <c r="F36" s="62"/>
      <c r="G36" s="78"/>
      <c r="H36" s="54"/>
      <c r="I36" s="78"/>
      <c r="J36" s="62"/>
      <c r="K36" s="93"/>
      <c r="L36" s="82"/>
      <c r="M36" s="48"/>
      <c r="N36" s="48"/>
      <c r="O36" s="48"/>
      <c r="P36" s="48"/>
      <c r="Q36" s="48"/>
      <c r="R36" s="48"/>
      <c r="S36" s="54"/>
      <c r="T36" s="89"/>
      <c r="U36" s="59"/>
      <c r="W36" s="67"/>
    </row>
    <row r="37" spans="1:23" x14ac:dyDescent="0.2">
      <c r="A37" s="45">
        <v>3</v>
      </c>
      <c r="E37" s="77"/>
      <c r="F37" s="62"/>
      <c r="G37" s="77"/>
      <c r="H37" s="65"/>
      <c r="I37" s="77"/>
      <c r="J37" s="62"/>
      <c r="K37" s="93"/>
      <c r="L37" s="82"/>
      <c r="M37" s="48"/>
      <c r="N37" s="48"/>
      <c r="O37" s="48"/>
      <c r="P37" s="48"/>
      <c r="Q37" s="48"/>
      <c r="R37" s="48"/>
      <c r="S37" s="54"/>
      <c r="T37" s="89"/>
      <c r="U37" s="59"/>
      <c r="W37" s="67"/>
    </row>
    <row r="38" spans="1:23" x14ac:dyDescent="0.2">
      <c r="A38" s="45">
        <v>4</v>
      </c>
      <c r="E38" s="77"/>
      <c r="F38" s="62"/>
      <c r="G38" s="77"/>
      <c r="H38" s="65"/>
      <c r="I38" s="77"/>
      <c r="J38" s="60"/>
      <c r="K38" s="94"/>
      <c r="L38" s="82"/>
      <c r="M38" s="48"/>
      <c r="N38" s="48"/>
      <c r="O38" s="48"/>
      <c r="P38" s="48"/>
      <c r="Q38" s="48"/>
      <c r="R38" s="48"/>
      <c r="S38" s="54"/>
      <c r="T38" s="89"/>
      <c r="U38" s="59"/>
      <c r="W38" s="67"/>
    </row>
    <row r="39" spans="1:23" x14ac:dyDescent="0.2">
      <c r="A39" s="45">
        <v>5</v>
      </c>
      <c r="E39" s="77"/>
      <c r="F39" s="62"/>
      <c r="G39" s="77"/>
      <c r="H39" s="65"/>
      <c r="I39" s="77"/>
      <c r="J39" s="60"/>
      <c r="K39" s="94"/>
      <c r="L39" s="82"/>
      <c r="M39" s="48"/>
      <c r="N39" s="48"/>
      <c r="O39" s="48"/>
      <c r="P39" s="48"/>
      <c r="Q39" s="48"/>
      <c r="R39" s="48"/>
      <c r="S39" s="54"/>
      <c r="T39" s="89"/>
      <c r="U39" s="59"/>
      <c r="W39" s="67"/>
    </row>
    <row r="40" spans="1:23" x14ac:dyDescent="0.2">
      <c r="A40" s="45">
        <v>6</v>
      </c>
      <c r="E40" s="77"/>
      <c r="F40" s="62"/>
      <c r="G40" s="77"/>
      <c r="H40" s="65"/>
      <c r="I40" s="77"/>
      <c r="J40" s="60"/>
      <c r="K40" s="94"/>
      <c r="L40" s="82"/>
      <c r="M40" s="48"/>
      <c r="N40" s="48"/>
      <c r="O40" s="48"/>
      <c r="P40" s="48"/>
      <c r="Q40" s="48"/>
      <c r="R40" s="48"/>
      <c r="S40" s="54"/>
      <c r="T40" s="89"/>
      <c r="U40" s="59"/>
      <c r="W40" s="67"/>
    </row>
    <row r="41" spans="1:23" x14ac:dyDescent="0.2">
      <c r="A41" s="45">
        <v>7</v>
      </c>
      <c r="E41" s="77"/>
      <c r="F41" s="62"/>
      <c r="G41" s="77"/>
      <c r="H41" s="65"/>
      <c r="I41" s="77"/>
      <c r="J41" s="60"/>
      <c r="K41" s="94"/>
      <c r="L41" s="82"/>
      <c r="M41" s="48"/>
      <c r="N41" s="48"/>
      <c r="O41" s="48"/>
      <c r="P41" s="48"/>
      <c r="Q41" s="48"/>
      <c r="R41" s="48"/>
      <c r="S41" s="54"/>
      <c r="T41" s="89"/>
      <c r="U41" s="59"/>
      <c r="W41" s="67"/>
    </row>
    <row r="42" spans="1:23" x14ac:dyDescent="0.2">
      <c r="A42" s="45">
        <v>8</v>
      </c>
      <c r="E42" s="77"/>
      <c r="F42" s="62"/>
      <c r="G42" s="77"/>
      <c r="H42" s="65"/>
      <c r="I42" s="77"/>
      <c r="J42" s="60"/>
      <c r="K42" s="94"/>
      <c r="L42" s="82"/>
      <c r="M42" s="48"/>
      <c r="N42" s="48"/>
      <c r="O42" s="48"/>
      <c r="P42" s="48"/>
      <c r="Q42" s="48"/>
      <c r="R42" s="48"/>
      <c r="S42" s="54"/>
      <c r="T42" s="89"/>
      <c r="U42" s="59"/>
      <c r="W42" s="67"/>
    </row>
    <row r="43" spans="1:23" x14ac:dyDescent="0.2">
      <c r="A43" s="48">
        <v>9</v>
      </c>
      <c r="B43" s="49"/>
      <c r="E43" s="77"/>
      <c r="F43" s="62"/>
      <c r="G43" s="77"/>
      <c r="H43" s="65"/>
      <c r="I43" s="77"/>
      <c r="J43" s="60"/>
      <c r="K43" s="94"/>
      <c r="L43" s="82"/>
      <c r="M43" s="58"/>
      <c r="N43" s="58"/>
      <c r="O43" s="58"/>
      <c r="P43" s="58"/>
      <c r="Q43" s="58"/>
      <c r="R43" s="48"/>
      <c r="S43" s="49"/>
      <c r="T43" s="90"/>
      <c r="U43" s="59"/>
      <c r="W43" s="67"/>
    </row>
    <row r="44" spans="1:23" x14ac:dyDescent="0.2">
      <c r="A44" s="48">
        <v>10</v>
      </c>
      <c r="B44" s="51"/>
      <c r="E44" s="77"/>
      <c r="F44" s="62"/>
      <c r="G44" s="77"/>
      <c r="H44" s="65"/>
      <c r="I44" s="77"/>
      <c r="J44" s="60"/>
      <c r="K44" s="94"/>
      <c r="L44" s="82"/>
      <c r="M44" s="48"/>
      <c r="N44" s="48"/>
      <c r="O44" s="48"/>
      <c r="P44" s="48"/>
      <c r="Q44" s="48"/>
      <c r="R44" s="48"/>
      <c r="S44" s="54"/>
      <c r="T44" s="90"/>
      <c r="U44" s="59"/>
      <c r="W44" s="67"/>
    </row>
    <row r="45" spans="1:23" x14ac:dyDescent="0.2">
      <c r="A45" s="45">
        <v>11</v>
      </c>
      <c r="L45" s="86"/>
      <c r="M45" s="47"/>
      <c r="N45" s="47"/>
      <c r="O45" s="47"/>
      <c r="P45" s="47"/>
      <c r="Q45" s="47"/>
      <c r="R45" s="47"/>
      <c r="S45" s="75"/>
      <c r="U45" s="51"/>
    </row>
    <row r="46" spans="1:23" x14ac:dyDescent="0.2">
      <c r="A46" s="45">
        <v>12</v>
      </c>
    </row>
    <row r="47" spans="1:23" x14ac:dyDescent="0.2">
      <c r="A47" s="45">
        <v>13</v>
      </c>
    </row>
    <row r="48" spans="1:23" x14ac:dyDescent="0.2">
      <c r="A48" s="45">
        <v>14</v>
      </c>
      <c r="C48" s="52"/>
      <c r="D48" s="50"/>
      <c r="E48" s="80"/>
      <c r="F48" s="57"/>
      <c r="G48" s="80"/>
    </row>
    <row r="49" spans="1:7" x14ac:dyDescent="0.2">
      <c r="A49" s="45">
        <v>15</v>
      </c>
      <c r="C49" s="51"/>
      <c r="D49" s="53"/>
      <c r="E49" s="77"/>
      <c r="F49" s="60"/>
      <c r="G49" s="77"/>
    </row>
    <row r="50" spans="1:7" x14ac:dyDescent="0.2">
      <c r="A50" s="45">
        <v>16</v>
      </c>
    </row>
    <row r="51" spans="1:7" x14ac:dyDescent="0.2">
      <c r="A51" s="45">
        <v>17</v>
      </c>
    </row>
    <row r="52" spans="1:7" x14ac:dyDescent="0.2">
      <c r="A52" s="45">
        <v>18</v>
      </c>
    </row>
    <row r="53" spans="1:7" x14ac:dyDescent="0.2">
      <c r="A53" s="48">
        <v>19</v>
      </c>
    </row>
    <row r="54" spans="1:7" x14ac:dyDescent="0.2">
      <c r="A54" s="48">
        <v>20</v>
      </c>
    </row>
    <row r="55" spans="1:7" x14ac:dyDescent="0.2">
      <c r="A55" s="45">
        <v>21</v>
      </c>
    </row>
    <row r="56" spans="1:7" x14ac:dyDescent="0.2">
      <c r="A56" s="45">
        <v>22</v>
      </c>
    </row>
    <row r="57" spans="1:7" x14ac:dyDescent="0.2">
      <c r="A57" s="45">
        <v>23</v>
      </c>
    </row>
    <row r="58" spans="1:7" x14ac:dyDescent="0.2">
      <c r="A58" s="45">
        <v>24</v>
      </c>
    </row>
    <row r="59" spans="1:7" x14ac:dyDescent="0.2">
      <c r="A59" s="45">
        <v>25</v>
      </c>
      <c r="F59" s="57"/>
      <c r="G59" s="80"/>
    </row>
    <row r="61" spans="1:7" x14ac:dyDescent="0.2">
      <c r="B61" s="45" t="s">
        <v>57</v>
      </c>
    </row>
  </sheetData>
  <mergeCells count="2">
    <mergeCell ref="M3:R3"/>
    <mergeCell ref="M34:R34"/>
  </mergeCells>
  <phoneticPr fontId="5" type="noConversion"/>
  <pageMargins left="0.25" right="0.17708333333333334" top="0.75" bottom="0.75" header="0.3" footer="0.3"/>
  <pageSetup paperSize="9" orientation="portrait" horizontalDpi="4294967293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1"/>
  <sheetViews>
    <sheetView topLeftCell="A12" zoomScaleNormal="100" workbookViewId="0">
      <selection activeCell="B61" sqref="B61"/>
    </sheetView>
  </sheetViews>
  <sheetFormatPr baseColWidth="10" defaultRowHeight="11.25" x14ac:dyDescent="0.2"/>
  <cols>
    <col min="1" max="1" width="3.140625" style="45" customWidth="1"/>
    <col min="2" max="2" width="15.5703125" style="45" customWidth="1"/>
    <col min="3" max="3" width="10.7109375" style="45" customWidth="1"/>
    <col min="4" max="4" width="4.42578125" style="46" customWidth="1"/>
    <col min="5" max="5" width="5.7109375" style="79" customWidth="1"/>
    <col min="6" max="6" width="5.28515625" style="63" customWidth="1"/>
    <col min="7" max="7" width="8.85546875" style="79" bestFit="1" customWidth="1"/>
    <col min="8" max="8" width="5.28515625" style="63" customWidth="1"/>
    <col min="9" max="9" width="6.85546875" style="79" bestFit="1" customWidth="1"/>
    <col min="10" max="10" width="5.28515625" style="63" customWidth="1"/>
    <col min="11" max="11" width="4.7109375" style="95" customWidth="1"/>
    <col min="12" max="12" width="5.28515625" style="84" customWidth="1"/>
    <col min="13" max="13" width="2.5703125" style="45" customWidth="1"/>
    <col min="14" max="14" width="1.140625" style="45" customWidth="1"/>
    <col min="15" max="15" width="2.42578125" style="45" customWidth="1"/>
    <col min="16" max="16" width="1.140625" style="45" customWidth="1"/>
    <col min="17" max="17" width="2.42578125" style="45" customWidth="1"/>
    <col min="18" max="18" width="7" style="45" hidden="1" customWidth="1"/>
    <col min="19" max="19" width="5.7109375" style="63" customWidth="1"/>
    <col min="20" max="20" width="6.42578125" style="91" bestFit="1" customWidth="1"/>
    <col min="21" max="16384" width="11.42578125" style="45"/>
  </cols>
  <sheetData>
    <row r="1" spans="1:20" s="72" customFormat="1" ht="18.75" x14ac:dyDescent="0.3">
      <c r="A1" s="68" t="s">
        <v>55</v>
      </c>
      <c r="B1" s="31"/>
      <c r="C1" s="31"/>
      <c r="D1" s="44"/>
      <c r="E1" s="76"/>
      <c r="F1" s="69"/>
      <c r="G1" s="76"/>
      <c r="H1" s="69"/>
      <c r="I1" s="76"/>
      <c r="J1" s="71"/>
      <c r="K1" s="92"/>
      <c r="L1" s="81"/>
      <c r="M1" s="31"/>
      <c r="N1" s="31"/>
      <c r="O1" s="31"/>
      <c r="P1" s="31"/>
      <c r="Q1" s="31"/>
      <c r="R1" s="31"/>
      <c r="S1" s="69"/>
      <c r="T1" s="88"/>
    </row>
    <row r="2" spans="1:20" s="73" customFormat="1" ht="15.75" x14ac:dyDescent="0.25">
      <c r="A2" s="123" t="s">
        <v>52</v>
      </c>
      <c r="B2" s="124"/>
      <c r="C2" s="124"/>
      <c r="D2" s="125"/>
      <c r="E2" s="126"/>
      <c r="F2" s="127"/>
      <c r="G2" s="126"/>
      <c r="H2" s="127"/>
      <c r="I2" s="126"/>
      <c r="J2" s="128"/>
      <c r="K2" s="129"/>
      <c r="L2" s="130"/>
      <c r="M2" s="131"/>
      <c r="N2" s="131"/>
      <c r="O2" s="131"/>
      <c r="P2" s="131"/>
      <c r="Q2" s="131"/>
      <c r="R2" s="131"/>
      <c r="S2" s="132"/>
      <c r="T2" s="133"/>
    </row>
    <row r="3" spans="1:20" x14ac:dyDescent="0.2">
      <c r="A3" s="45" t="s">
        <v>47</v>
      </c>
      <c r="B3" s="45" t="s">
        <v>35</v>
      </c>
      <c r="C3" s="45" t="s">
        <v>36</v>
      </c>
      <c r="D3" s="46" t="s">
        <v>50</v>
      </c>
      <c r="E3" s="77" t="s">
        <v>37</v>
      </c>
      <c r="F3" s="62" t="s">
        <v>42</v>
      </c>
      <c r="G3" s="77" t="s">
        <v>38</v>
      </c>
      <c r="H3" s="60" t="s">
        <v>43</v>
      </c>
      <c r="I3" s="77" t="s">
        <v>39</v>
      </c>
      <c r="J3" s="62" t="s">
        <v>43</v>
      </c>
      <c r="K3" s="93"/>
      <c r="L3" s="82"/>
      <c r="M3" s="96" t="s">
        <v>40</v>
      </c>
      <c r="N3" s="96"/>
      <c r="O3" s="96"/>
      <c r="P3" s="96"/>
      <c r="Q3" s="96"/>
      <c r="R3" s="96"/>
      <c r="S3" s="62" t="s">
        <v>43</v>
      </c>
      <c r="T3" s="89" t="s">
        <v>41</v>
      </c>
    </row>
    <row r="4" spans="1:20" s="48" customFormat="1" x14ac:dyDescent="0.2">
      <c r="A4" s="48">
        <v>1</v>
      </c>
      <c r="B4" s="48" t="s">
        <v>44</v>
      </c>
      <c r="C4" s="48" t="s">
        <v>53</v>
      </c>
      <c r="D4" s="58" t="s">
        <v>46</v>
      </c>
      <c r="E4" s="78">
        <v>9.2200000000000006</v>
      </c>
      <c r="F4" s="66">
        <f>INT(7.48676*((1460-E4*100)/100)^2.5)</f>
        <v>502</v>
      </c>
      <c r="G4" s="78">
        <v>4.66</v>
      </c>
      <c r="H4" s="66">
        <f>INT(171.91361*((100*G4-125)/100)^1.1)</f>
        <v>662</v>
      </c>
      <c r="I4" s="78">
        <v>31.55</v>
      </c>
      <c r="J4" s="66">
        <f>INT(24.63917*((100*I4-500)/100)^0.9)</f>
        <v>471</v>
      </c>
      <c r="K4" s="80"/>
      <c r="L4" s="83"/>
      <c r="M4" s="55">
        <v>3</v>
      </c>
      <c r="N4" s="56" t="s">
        <v>31</v>
      </c>
      <c r="O4" s="55">
        <v>4</v>
      </c>
      <c r="P4" s="56" t="s">
        <v>32</v>
      </c>
      <c r="Q4" s="55">
        <v>5</v>
      </c>
      <c r="R4" s="48">
        <f>(6000*M4)+(100*O4)+Q4</f>
        <v>18405</v>
      </c>
      <c r="S4" s="66">
        <f>INT(0.006914*((34158-R4)/100)^2.3)</f>
        <v>782</v>
      </c>
      <c r="T4" s="90">
        <f>SUM(F4+H4+J4+S4)</f>
        <v>2417</v>
      </c>
    </row>
    <row r="5" spans="1:20" x14ac:dyDescent="0.2">
      <c r="A5" s="45">
        <v>2</v>
      </c>
      <c r="E5" s="77"/>
      <c r="F5" s="66"/>
      <c r="G5" s="78"/>
      <c r="H5" s="66"/>
      <c r="I5" s="78"/>
      <c r="J5" s="66"/>
      <c r="K5" s="80"/>
      <c r="L5" s="83"/>
      <c r="M5" s="74"/>
      <c r="N5" s="49"/>
      <c r="O5" s="74"/>
      <c r="P5" s="49"/>
      <c r="Q5" s="74"/>
      <c r="R5" s="48"/>
      <c r="S5" s="66"/>
      <c r="T5" s="89"/>
    </row>
    <row r="6" spans="1:20" x14ac:dyDescent="0.2">
      <c r="A6" s="45">
        <v>3</v>
      </c>
      <c r="E6" s="77"/>
      <c r="F6" s="66"/>
      <c r="G6" s="78"/>
      <c r="H6" s="66"/>
      <c r="I6" s="78"/>
      <c r="J6" s="66"/>
      <c r="K6" s="80"/>
      <c r="L6" s="83"/>
      <c r="M6" s="74"/>
      <c r="N6" s="49"/>
      <c r="O6" s="74"/>
      <c r="P6" s="49"/>
      <c r="Q6" s="74"/>
      <c r="R6" s="48"/>
      <c r="S6" s="66"/>
      <c r="T6" s="89"/>
    </row>
    <row r="7" spans="1:20" x14ac:dyDescent="0.2">
      <c r="A7" s="45">
        <v>4</v>
      </c>
      <c r="E7" s="77"/>
      <c r="F7" s="66"/>
      <c r="G7" s="78"/>
      <c r="H7" s="66"/>
      <c r="I7" s="78"/>
      <c r="J7" s="66"/>
      <c r="K7" s="80"/>
      <c r="L7" s="83"/>
      <c r="M7" s="74"/>
      <c r="N7" s="49"/>
      <c r="O7" s="74"/>
      <c r="P7" s="49"/>
      <c r="Q7" s="74"/>
      <c r="R7" s="48"/>
      <c r="S7" s="66"/>
      <c r="T7" s="89"/>
    </row>
    <row r="8" spans="1:20" x14ac:dyDescent="0.2">
      <c r="A8" s="45">
        <v>5</v>
      </c>
      <c r="E8" s="77"/>
      <c r="F8" s="66"/>
      <c r="G8" s="78"/>
      <c r="H8" s="66"/>
      <c r="I8" s="78"/>
      <c r="J8" s="66"/>
      <c r="K8" s="80"/>
      <c r="L8" s="83"/>
      <c r="M8" s="74"/>
      <c r="N8" s="49"/>
      <c r="O8" s="74"/>
      <c r="P8" s="49"/>
      <c r="Q8" s="74"/>
      <c r="R8" s="48"/>
      <c r="S8" s="66"/>
      <c r="T8" s="89"/>
    </row>
    <row r="9" spans="1:20" x14ac:dyDescent="0.2">
      <c r="A9" s="45">
        <v>6</v>
      </c>
      <c r="E9" s="77"/>
      <c r="F9" s="62"/>
      <c r="G9" s="77"/>
      <c r="H9" s="60"/>
      <c r="I9" s="77"/>
      <c r="J9" s="60"/>
      <c r="K9" s="94"/>
      <c r="L9" s="82"/>
      <c r="M9" s="48"/>
      <c r="N9" s="48"/>
      <c r="O9" s="48"/>
      <c r="P9" s="48"/>
      <c r="Q9" s="48"/>
      <c r="R9" s="48"/>
      <c r="S9" s="62"/>
      <c r="T9" s="89"/>
    </row>
    <row r="10" spans="1:20" x14ac:dyDescent="0.2">
      <c r="A10" s="45">
        <v>7</v>
      </c>
      <c r="E10" s="77"/>
      <c r="F10" s="62"/>
      <c r="G10" s="77"/>
      <c r="H10" s="60"/>
      <c r="I10" s="77"/>
      <c r="J10" s="60"/>
      <c r="K10" s="94"/>
      <c r="L10" s="82"/>
      <c r="M10" s="48"/>
      <c r="N10" s="48"/>
      <c r="O10" s="48"/>
      <c r="P10" s="48"/>
      <c r="Q10" s="48"/>
      <c r="R10" s="48"/>
      <c r="S10" s="62"/>
      <c r="T10" s="89"/>
    </row>
    <row r="11" spans="1:20" x14ac:dyDescent="0.2">
      <c r="A11" s="45">
        <v>8</v>
      </c>
      <c r="E11" s="77"/>
      <c r="F11" s="62"/>
      <c r="G11" s="77"/>
      <c r="H11" s="60"/>
      <c r="I11" s="77"/>
      <c r="J11" s="60"/>
      <c r="K11" s="94"/>
      <c r="L11" s="82"/>
      <c r="M11" s="48"/>
      <c r="N11" s="48"/>
      <c r="O11" s="48"/>
      <c r="P11" s="48"/>
      <c r="Q11" s="48"/>
      <c r="R11" s="48"/>
      <c r="S11" s="62"/>
      <c r="T11" s="89"/>
    </row>
    <row r="12" spans="1:20" x14ac:dyDescent="0.2">
      <c r="A12" s="48">
        <v>9</v>
      </c>
      <c r="B12" s="49"/>
      <c r="E12" s="77"/>
      <c r="F12" s="62"/>
      <c r="G12" s="77"/>
      <c r="H12" s="60"/>
      <c r="I12" s="77"/>
      <c r="J12" s="60"/>
      <c r="K12" s="94"/>
      <c r="L12" s="82"/>
      <c r="M12" s="58"/>
      <c r="N12" s="58"/>
      <c r="O12" s="58"/>
      <c r="P12" s="58"/>
      <c r="Q12" s="58"/>
      <c r="R12" s="48"/>
      <c r="S12" s="57"/>
      <c r="T12" s="90"/>
    </row>
    <row r="13" spans="1:20" s="51" customFormat="1" x14ac:dyDescent="0.2">
      <c r="A13" s="48">
        <v>10</v>
      </c>
      <c r="C13" s="45"/>
      <c r="D13" s="46"/>
      <c r="E13" s="77"/>
      <c r="F13" s="62"/>
      <c r="G13" s="77"/>
      <c r="H13" s="60"/>
      <c r="I13" s="77"/>
      <c r="J13" s="60"/>
      <c r="K13" s="94"/>
      <c r="L13" s="82"/>
      <c r="M13" s="48"/>
      <c r="N13" s="48"/>
      <c r="O13" s="48"/>
      <c r="P13" s="48"/>
      <c r="Q13" s="48"/>
      <c r="R13" s="48"/>
      <c r="S13" s="62"/>
      <c r="T13" s="90"/>
    </row>
    <row r="14" spans="1:20" x14ac:dyDescent="0.2">
      <c r="A14" s="45">
        <v>11</v>
      </c>
    </row>
    <row r="15" spans="1:20" x14ac:dyDescent="0.2">
      <c r="A15" s="45">
        <v>12</v>
      </c>
    </row>
    <row r="16" spans="1:20" x14ac:dyDescent="0.2">
      <c r="A16" s="45">
        <v>13</v>
      </c>
    </row>
    <row r="17" spans="1:7" x14ac:dyDescent="0.2">
      <c r="A17" s="45">
        <v>14</v>
      </c>
      <c r="C17" s="52"/>
      <c r="D17" s="50"/>
      <c r="E17" s="80"/>
      <c r="F17" s="57"/>
      <c r="G17" s="80"/>
    </row>
    <row r="18" spans="1:7" x14ac:dyDescent="0.2">
      <c r="A18" s="45">
        <v>15</v>
      </c>
      <c r="C18" s="51"/>
      <c r="D18" s="53"/>
      <c r="E18" s="77"/>
      <c r="F18" s="60"/>
      <c r="G18" s="77"/>
    </row>
    <row r="19" spans="1:7" x14ac:dyDescent="0.2">
      <c r="A19" s="45">
        <v>16</v>
      </c>
    </row>
    <row r="20" spans="1:7" x14ac:dyDescent="0.2">
      <c r="A20" s="45">
        <v>17</v>
      </c>
    </row>
    <row r="21" spans="1:7" x14ac:dyDescent="0.2">
      <c r="A21" s="45">
        <v>18</v>
      </c>
    </row>
    <row r="22" spans="1:7" x14ac:dyDescent="0.2">
      <c r="A22" s="48">
        <v>19</v>
      </c>
    </row>
    <row r="23" spans="1:7" x14ac:dyDescent="0.2">
      <c r="A23" s="48">
        <v>20</v>
      </c>
    </row>
    <row r="24" spans="1:7" x14ac:dyDescent="0.2">
      <c r="A24" s="45">
        <v>21</v>
      </c>
    </row>
    <row r="25" spans="1:7" x14ac:dyDescent="0.2">
      <c r="A25" s="45">
        <v>22</v>
      </c>
    </row>
    <row r="26" spans="1:7" x14ac:dyDescent="0.2">
      <c r="A26" s="45">
        <v>23</v>
      </c>
    </row>
    <row r="27" spans="1:7" x14ac:dyDescent="0.2">
      <c r="A27" s="45">
        <v>24</v>
      </c>
    </row>
    <row r="28" spans="1:7" x14ac:dyDescent="0.2">
      <c r="A28" s="45">
        <v>25</v>
      </c>
      <c r="F28" s="57"/>
      <c r="G28" s="80"/>
    </row>
    <row r="29" spans="1:7" x14ac:dyDescent="0.2">
      <c r="F29" s="60"/>
      <c r="G29" s="77"/>
    </row>
    <row r="30" spans="1:7" x14ac:dyDescent="0.2">
      <c r="B30" s="45" t="s">
        <v>56</v>
      </c>
    </row>
    <row r="33" spans="1:23" s="73" customFormat="1" ht="15.75" x14ac:dyDescent="0.25">
      <c r="A33" s="134" t="s">
        <v>54</v>
      </c>
      <c r="B33" s="135"/>
      <c r="C33" s="135"/>
      <c r="D33" s="136"/>
      <c r="E33" s="137"/>
      <c r="F33" s="138"/>
      <c r="G33" s="137"/>
      <c r="H33" s="138"/>
      <c r="I33" s="137"/>
      <c r="J33" s="138"/>
      <c r="K33" s="139"/>
      <c r="L33" s="140"/>
      <c r="M33" s="135"/>
      <c r="N33" s="135"/>
      <c r="O33" s="135"/>
      <c r="P33" s="135"/>
      <c r="Q33" s="135"/>
      <c r="R33" s="135"/>
      <c r="S33" s="138"/>
      <c r="T33" s="141"/>
    </row>
    <row r="34" spans="1:23" x14ac:dyDescent="0.2">
      <c r="A34" s="45" t="s">
        <v>47</v>
      </c>
      <c r="B34" s="45" t="s">
        <v>35</v>
      </c>
      <c r="C34" s="45" t="s">
        <v>36</v>
      </c>
      <c r="D34" s="46" t="s">
        <v>50</v>
      </c>
      <c r="E34" s="77" t="s">
        <v>51</v>
      </c>
      <c r="F34" s="62" t="s">
        <v>42</v>
      </c>
      <c r="G34" s="77" t="s">
        <v>0</v>
      </c>
      <c r="H34" s="60" t="s">
        <v>43</v>
      </c>
      <c r="I34" s="77" t="s">
        <v>2</v>
      </c>
      <c r="J34" s="62" t="s">
        <v>43</v>
      </c>
      <c r="K34" s="93" t="s">
        <v>4</v>
      </c>
      <c r="L34" s="85" t="s">
        <v>43</v>
      </c>
      <c r="M34" s="96" t="s">
        <v>40</v>
      </c>
      <c r="N34" s="96"/>
      <c r="O34" s="96"/>
      <c r="P34" s="96"/>
      <c r="Q34" s="96"/>
      <c r="R34" s="96"/>
      <c r="S34" s="62" t="s">
        <v>43</v>
      </c>
      <c r="T34" s="89" t="s">
        <v>41</v>
      </c>
      <c r="U34" s="51"/>
    </row>
    <row r="35" spans="1:23" x14ac:dyDescent="0.2">
      <c r="A35" s="45">
        <v>1</v>
      </c>
      <c r="B35" s="45" t="s">
        <v>44</v>
      </c>
      <c r="C35" s="51" t="s">
        <v>53</v>
      </c>
      <c r="D35" s="53" t="s">
        <v>46</v>
      </c>
      <c r="E35" s="78">
        <v>10.8</v>
      </c>
      <c r="F35" s="66">
        <f>INT(4.22443*((1850-E35*100)/100)^2.5)</f>
        <v>695</v>
      </c>
      <c r="G35" s="78">
        <v>1.4</v>
      </c>
      <c r="H35" s="66">
        <f>INT(942.65514*((100*G35-75)/100))</f>
        <v>612</v>
      </c>
      <c r="I35" s="78">
        <v>8.44</v>
      </c>
      <c r="J35" s="66">
        <f>INT(83.435373*((100*I35-130)/100)^0.9)</f>
        <v>489</v>
      </c>
      <c r="K35" s="80">
        <v>31.31</v>
      </c>
      <c r="L35" s="66">
        <f>INT(28.058125*((100*K35-360)/100)^0.9)</f>
        <v>557</v>
      </c>
      <c r="M35" s="55">
        <v>2</v>
      </c>
      <c r="N35" s="56" t="s">
        <v>31</v>
      </c>
      <c r="O35" s="55">
        <v>55</v>
      </c>
      <c r="P35" s="56" t="s">
        <v>32</v>
      </c>
      <c r="Q35" s="55">
        <v>1</v>
      </c>
      <c r="R35" s="48">
        <f>(6000*M35)+(100*O35)+Q35</f>
        <v>17501</v>
      </c>
      <c r="S35" s="66">
        <f>INT(0.006914*((34158-R35)/100)^2.3)</f>
        <v>890</v>
      </c>
      <c r="T35" s="89">
        <f>SUM(F35+H35+J35+S35)</f>
        <v>2686</v>
      </c>
      <c r="U35" s="51"/>
    </row>
    <row r="36" spans="1:23" x14ac:dyDescent="0.2">
      <c r="A36" s="45">
        <v>2</v>
      </c>
      <c r="E36" s="77"/>
      <c r="F36" s="62"/>
      <c r="G36" s="78"/>
      <c r="H36" s="62"/>
      <c r="I36" s="78"/>
      <c r="J36" s="62"/>
      <c r="K36" s="93"/>
      <c r="L36" s="82"/>
      <c r="M36" s="48"/>
      <c r="N36" s="48"/>
      <c r="O36" s="48"/>
      <c r="P36" s="48"/>
      <c r="Q36" s="48"/>
      <c r="R36" s="48"/>
      <c r="S36" s="62"/>
      <c r="T36" s="89"/>
      <c r="U36" s="59"/>
      <c r="W36" s="67"/>
    </row>
    <row r="37" spans="1:23" x14ac:dyDescent="0.2">
      <c r="A37" s="45">
        <v>3</v>
      </c>
      <c r="E37" s="77"/>
      <c r="F37" s="62"/>
      <c r="G37" s="77"/>
      <c r="H37" s="60"/>
      <c r="I37" s="77"/>
      <c r="J37" s="62"/>
      <c r="K37" s="93"/>
      <c r="L37" s="82"/>
      <c r="M37" s="48"/>
      <c r="N37" s="48"/>
      <c r="O37" s="48"/>
      <c r="P37" s="48"/>
      <c r="Q37" s="48"/>
      <c r="R37" s="48"/>
      <c r="S37" s="62"/>
      <c r="T37" s="89"/>
      <c r="U37" s="59"/>
      <c r="W37" s="67"/>
    </row>
    <row r="38" spans="1:23" x14ac:dyDescent="0.2">
      <c r="A38" s="45">
        <v>4</v>
      </c>
      <c r="E38" s="77"/>
      <c r="F38" s="62"/>
      <c r="G38" s="77"/>
      <c r="H38" s="60"/>
      <c r="I38" s="77"/>
      <c r="J38" s="60"/>
      <c r="K38" s="94"/>
      <c r="L38" s="82"/>
      <c r="M38" s="48"/>
      <c r="N38" s="48"/>
      <c r="O38" s="48"/>
      <c r="P38" s="48"/>
      <c r="Q38" s="48"/>
      <c r="R38" s="48"/>
      <c r="S38" s="62"/>
      <c r="T38" s="89"/>
      <c r="U38" s="59"/>
      <c r="W38" s="67"/>
    </row>
    <row r="39" spans="1:23" x14ac:dyDescent="0.2">
      <c r="A39" s="45">
        <v>5</v>
      </c>
      <c r="E39" s="77"/>
      <c r="F39" s="62"/>
      <c r="G39" s="77"/>
      <c r="H39" s="60"/>
      <c r="I39" s="77"/>
      <c r="J39" s="60"/>
      <c r="K39" s="94"/>
      <c r="L39" s="82"/>
      <c r="M39" s="48"/>
      <c r="N39" s="48"/>
      <c r="O39" s="48"/>
      <c r="P39" s="48"/>
      <c r="Q39" s="48"/>
      <c r="R39" s="48"/>
      <c r="S39" s="62"/>
      <c r="T39" s="89"/>
      <c r="U39" s="59"/>
      <c r="W39" s="67"/>
    </row>
    <row r="40" spans="1:23" x14ac:dyDescent="0.2">
      <c r="A40" s="45">
        <v>6</v>
      </c>
      <c r="E40" s="77"/>
      <c r="F40" s="62"/>
      <c r="G40" s="77"/>
      <c r="H40" s="60"/>
      <c r="I40" s="77"/>
      <c r="J40" s="60"/>
      <c r="K40" s="94"/>
      <c r="L40" s="82"/>
      <c r="M40" s="48"/>
      <c r="N40" s="48"/>
      <c r="O40" s="48"/>
      <c r="P40" s="48"/>
      <c r="Q40" s="48"/>
      <c r="R40" s="48"/>
      <c r="S40" s="62"/>
      <c r="T40" s="89"/>
      <c r="U40" s="59"/>
      <c r="W40" s="67"/>
    </row>
    <row r="41" spans="1:23" x14ac:dyDescent="0.2">
      <c r="A41" s="45">
        <v>7</v>
      </c>
      <c r="E41" s="77"/>
      <c r="F41" s="62"/>
      <c r="G41" s="77"/>
      <c r="H41" s="60"/>
      <c r="I41" s="77"/>
      <c r="J41" s="60"/>
      <c r="K41" s="94"/>
      <c r="L41" s="82"/>
      <c r="M41" s="48"/>
      <c r="N41" s="48"/>
      <c r="O41" s="48"/>
      <c r="P41" s="48"/>
      <c r="Q41" s="48"/>
      <c r="R41" s="48"/>
      <c r="S41" s="62"/>
      <c r="T41" s="89"/>
      <c r="U41" s="59"/>
      <c r="W41" s="67"/>
    </row>
    <row r="42" spans="1:23" x14ac:dyDescent="0.2">
      <c r="A42" s="45">
        <v>8</v>
      </c>
      <c r="E42" s="77"/>
      <c r="F42" s="62"/>
      <c r="G42" s="77"/>
      <c r="H42" s="60"/>
      <c r="I42" s="77"/>
      <c r="J42" s="60"/>
      <c r="K42" s="94"/>
      <c r="L42" s="82"/>
      <c r="M42" s="48"/>
      <c r="N42" s="48"/>
      <c r="O42" s="48"/>
      <c r="P42" s="48"/>
      <c r="Q42" s="48"/>
      <c r="R42" s="48"/>
      <c r="S42" s="62"/>
      <c r="T42" s="89"/>
      <c r="U42" s="59"/>
      <c r="W42" s="67"/>
    </row>
    <row r="43" spans="1:23" x14ac:dyDescent="0.2">
      <c r="A43" s="48">
        <v>9</v>
      </c>
      <c r="B43" s="49"/>
      <c r="E43" s="77"/>
      <c r="F43" s="62"/>
      <c r="G43" s="77"/>
      <c r="H43" s="60"/>
      <c r="I43" s="77"/>
      <c r="J43" s="60"/>
      <c r="K43" s="94"/>
      <c r="L43" s="82"/>
      <c r="M43" s="58"/>
      <c r="N43" s="58"/>
      <c r="O43" s="58"/>
      <c r="P43" s="58"/>
      <c r="Q43" s="58"/>
      <c r="R43" s="48"/>
      <c r="S43" s="57"/>
      <c r="T43" s="90"/>
      <c r="U43" s="59"/>
      <c r="W43" s="67"/>
    </row>
    <row r="44" spans="1:23" x14ac:dyDescent="0.2">
      <c r="A44" s="48">
        <v>10</v>
      </c>
      <c r="B44" s="51"/>
      <c r="E44" s="77"/>
      <c r="F44" s="62"/>
      <c r="G44" s="77"/>
      <c r="H44" s="60"/>
      <c r="I44" s="77"/>
      <c r="J44" s="60"/>
      <c r="K44" s="94"/>
      <c r="L44" s="82"/>
      <c r="M44" s="48"/>
      <c r="N44" s="48"/>
      <c r="O44" s="48"/>
      <c r="P44" s="48"/>
      <c r="Q44" s="48"/>
      <c r="R44" s="48"/>
      <c r="S44" s="62"/>
      <c r="T44" s="90"/>
      <c r="U44" s="59"/>
      <c r="W44" s="67"/>
    </row>
    <row r="45" spans="1:23" x14ac:dyDescent="0.2">
      <c r="A45" s="45">
        <v>11</v>
      </c>
      <c r="L45" s="86"/>
      <c r="M45" s="47"/>
      <c r="N45" s="47"/>
      <c r="O45" s="47"/>
      <c r="P45" s="47"/>
      <c r="Q45" s="47"/>
      <c r="R45" s="47"/>
      <c r="S45" s="61"/>
      <c r="U45" s="51"/>
    </row>
    <row r="46" spans="1:23" x14ac:dyDescent="0.2">
      <c r="A46" s="45">
        <v>12</v>
      </c>
    </row>
    <row r="47" spans="1:23" x14ac:dyDescent="0.2">
      <c r="A47" s="45">
        <v>13</v>
      </c>
    </row>
    <row r="48" spans="1:23" x14ac:dyDescent="0.2">
      <c r="A48" s="45">
        <v>14</v>
      </c>
      <c r="C48" s="52"/>
      <c r="D48" s="50"/>
      <c r="E48" s="80"/>
      <c r="F48" s="57"/>
      <c r="G48" s="80"/>
    </row>
    <row r="49" spans="1:7" x14ac:dyDescent="0.2">
      <c r="A49" s="45">
        <v>15</v>
      </c>
      <c r="C49" s="51"/>
      <c r="D49" s="53"/>
      <c r="E49" s="77"/>
      <c r="F49" s="60"/>
      <c r="G49" s="77"/>
    </row>
    <row r="50" spans="1:7" x14ac:dyDescent="0.2">
      <c r="A50" s="45">
        <v>16</v>
      </c>
    </row>
    <row r="51" spans="1:7" x14ac:dyDescent="0.2">
      <c r="A51" s="45">
        <v>17</v>
      </c>
    </row>
    <row r="52" spans="1:7" x14ac:dyDescent="0.2">
      <c r="A52" s="45">
        <v>18</v>
      </c>
    </row>
    <row r="53" spans="1:7" x14ac:dyDescent="0.2">
      <c r="A53" s="48">
        <v>19</v>
      </c>
    </row>
    <row r="54" spans="1:7" x14ac:dyDescent="0.2">
      <c r="A54" s="48">
        <v>20</v>
      </c>
    </row>
    <row r="55" spans="1:7" x14ac:dyDescent="0.2">
      <c r="A55" s="45">
        <v>21</v>
      </c>
    </row>
    <row r="56" spans="1:7" x14ac:dyDescent="0.2">
      <c r="A56" s="45">
        <v>22</v>
      </c>
    </row>
    <row r="57" spans="1:7" x14ac:dyDescent="0.2">
      <c r="A57" s="45">
        <v>23</v>
      </c>
    </row>
    <row r="58" spans="1:7" x14ac:dyDescent="0.2">
      <c r="A58" s="45">
        <v>24</v>
      </c>
    </row>
    <row r="59" spans="1:7" x14ac:dyDescent="0.2">
      <c r="A59" s="45">
        <v>25</v>
      </c>
      <c r="F59" s="57"/>
      <c r="G59" s="80"/>
    </row>
    <row r="61" spans="1:7" x14ac:dyDescent="0.2">
      <c r="B61" s="45" t="s">
        <v>57</v>
      </c>
    </row>
  </sheetData>
  <mergeCells count="2">
    <mergeCell ref="M3:R3"/>
    <mergeCell ref="M34:R34"/>
  </mergeCells>
  <phoneticPr fontId="5" type="noConversion"/>
  <pageMargins left="0.14000000000000001" right="0.2" top="0.28000000000000003" bottom="0.984251969" header="0.24" footer="0.4921259845"/>
  <pageSetup paperSize="9" orientation="portrait" horizontalDpi="4294967293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5"/>
  <sheetViews>
    <sheetView workbookViewId="0">
      <selection activeCell="M57" sqref="M57"/>
    </sheetView>
  </sheetViews>
  <sheetFormatPr baseColWidth="10" defaultRowHeight="12.75" x14ac:dyDescent="0.2"/>
  <cols>
    <col min="6" max="6" width="3" bestFit="1" customWidth="1"/>
    <col min="7" max="7" width="1.5703125" bestFit="1" customWidth="1"/>
    <col min="8" max="8" width="3" bestFit="1" customWidth="1"/>
    <col min="9" max="9" width="1.5703125" bestFit="1" customWidth="1"/>
    <col min="10" max="10" width="3" bestFit="1" customWidth="1"/>
    <col min="11" max="11" width="2" bestFit="1" customWidth="1"/>
    <col min="12" max="12" width="7.5703125" bestFit="1" customWidth="1"/>
    <col min="13" max="13" width="15.28515625" bestFit="1" customWidth="1"/>
  </cols>
  <sheetData>
    <row r="1" spans="1:13" x14ac:dyDescent="0.2">
      <c r="A1" s="35" t="s">
        <v>5</v>
      </c>
      <c r="B1" s="24"/>
      <c r="C1" s="24"/>
      <c r="D1" s="24"/>
      <c r="E1" s="24"/>
      <c r="F1" s="24"/>
      <c r="G1" s="24"/>
      <c r="H1" s="24"/>
      <c r="I1" s="24"/>
      <c r="J1" s="24"/>
      <c r="K1" s="36"/>
      <c r="L1" s="24"/>
      <c r="M1" s="33"/>
    </row>
    <row r="2" spans="1:13" x14ac:dyDescent="0.2">
      <c r="A2" s="3"/>
      <c r="B2" s="39" t="s">
        <v>10</v>
      </c>
      <c r="C2" s="39" t="s">
        <v>11</v>
      </c>
      <c r="D2" s="39" t="s">
        <v>12</v>
      </c>
      <c r="E2" s="39" t="s">
        <v>13</v>
      </c>
      <c r="F2" s="101" t="s">
        <v>7</v>
      </c>
      <c r="G2" s="101"/>
      <c r="H2" s="101"/>
      <c r="I2" s="101"/>
      <c r="J2" s="101"/>
      <c r="K2" s="25"/>
      <c r="L2" s="39" t="s">
        <v>34</v>
      </c>
      <c r="M2" s="23" t="s">
        <v>30</v>
      </c>
    </row>
    <row r="3" spans="1:13" x14ac:dyDescent="0.2">
      <c r="A3" s="3"/>
      <c r="B3" s="8">
        <v>50</v>
      </c>
      <c r="C3" s="9">
        <v>9.4236599999999999</v>
      </c>
      <c r="D3" s="9">
        <v>1300</v>
      </c>
      <c r="E3" s="9">
        <v>2.5</v>
      </c>
      <c r="F3" s="98">
        <v>0</v>
      </c>
      <c r="G3" s="99"/>
      <c r="H3" s="99"/>
      <c r="I3" s="99"/>
      <c r="J3" s="100"/>
      <c r="L3" s="41" t="s">
        <v>8</v>
      </c>
      <c r="M3" s="22">
        <f>INT(9.42366*((1300-F3*100)/100)^2.5)</f>
        <v>5742</v>
      </c>
    </row>
    <row r="4" spans="1:13" x14ac:dyDescent="0.2">
      <c r="A4" s="3"/>
      <c r="B4" s="8">
        <v>60</v>
      </c>
      <c r="C4" s="9">
        <v>7.4867600000000003</v>
      </c>
      <c r="D4" s="9">
        <v>1460</v>
      </c>
      <c r="E4" s="9">
        <v>2.5</v>
      </c>
      <c r="F4" s="98">
        <v>0</v>
      </c>
      <c r="G4" s="99"/>
      <c r="H4" s="99"/>
      <c r="I4" s="99"/>
      <c r="J4" s="100"/>
      <c r="L4" s="41" t="s">
        <v>8</v>
      </c>
      <c r="M4" s="22">
        <f>INT(7.48676*((1460-F4*100)/100)^2.5)</f>
        <v>6097</v>
      </c>
    </row>
    <row r="5" spans="1:13" x14ac:dyDescent="0.2">
      <c r="A5" s="3"/>
      <c r="B5" s="8">
        <v>80</v>
      </c>
      <c r="C5" s="9">
        <v>4.2244299999999999</v>
      </c>
      <c r="D5" s="9">
        <v>1850</v>
      </c>
      <c r="E5" s="9">
        <v>2.5</v>
      </c>
      <c r="F5" s="98">
        <v>0</v>
      </c>
      <c r="G5" s="99"/>
      <c r="H5" s="99"/>
      <c r="I5" s="99"/>
      <c r="J5" s="100"/>
      <c r="L5" s="41" t="s">
        <v>8</v>
      </c>
      <c r="M5" s="22">
        <f>INT(4.22443*((1850-F5*100)/100)^2.5)</f>
        <v>6218</v>
      </c>
    </row>
    <row r="6" spans="1:13" x14ac:dyDescent="0.2">
      <c r="A6" s="3"/>
      <c r="B6" s="8">
        <v>100</v>
      </c>
      <c r="C6" s="9">
        <v>7.8930499999999997</v>
      </c>
      <c r="D6" s="9">
        <v>2180</v>
      </c>
      <c r="E6" s="9">
        <v>2.1</v>
      </c>
      <c r="F6" s="98">
        <v>0</v>
      </c>
      <c r="G6" s="99"/>
      <c r="H6" s="99"/>
      <c r="I6" s="99"/>
      <c r="J6" s="100"/>
      <c r="L6" s="41" t="s">
        <v>8</v>
      </c>
      <c r="M6" s="22">
        <f>INT(7.89305*((2180-F6*100)/100)^2.1)</f>
        <v>5105</v>
      </c>
    </row>
    <row r="7" spans="1:13" x14ac:dyDescent="0.2">
      <c r="A7" s="3"/>
      <c r="B7" s="8">
        <v>200</v>
      </c>
      <c r="C7" s="9">
        <v>1.4358390000000001</v>
      </c>
      <c r="D7" s="9">
        <v>4649</v>
      </c>
      <c r="E7" s="9">
        <v>2.1</v>
      </c>
      <c r="F7" s="98">
        <v>0</v>
      </c>
      <c r="G7" s="99"/>
      <c r="H7" s="99"/>
      <c r="I7" s="99"/>
      <c r="J7" s="100"/>
      <c r="L7" s="41" t="s">
        <v>8</v>
      </c>
      <c r="M7" s="22">
        <f>INT(1.435839*((4649-F7*100)/100)^2.1)</f>
        <v>4555</v>
      </c>
    </row>
    <row r="8" spans="1:13" x14ac:dyDescent="0.2">
      <c r="A8" s="3"/>
      <c r="B8" s="8">
        <v>300</v>
      </c>
      <c r="C8" s="9">
        <v>0.51564399999999999</v>
      </c>
      <c r="D8" s="9">
        <v>7564</v>
      </c>
      <c r="E8" s="9">
        <v>2.1</v>
      </c>
      <c r="F8" s="98">
        <v>0</v>
      </c>
      <c r="G8" s="99"/>
      <c r="H8" s="99"/>
      <c r="I8" s="99"/>
      <c r="J8" s="100"/>
      <c r="L8" s="42" t="s">
        <v>8</v>
      </c>
      <c r="M8" s="22">
        <f>INT(0.515644*((7564-F8*100)/100)^2.1)</f>
        <v>4547</v>
      </c>
    </row>
    <row r="9" spans="1:13" x14ac:dyDescent="0.2">
      <c r="A9" s="3"/>
      <c r="B9" s="8">
        <v>400</v>
      </c>
      <c r="C9" s="9">
        <v>0.261208</v>
      </c>
      <c r="D9" s="9">
        <v>10454</v>
      </c>
      <c r="E9" s="9">
        <v>2.1</v>
      </c>
      <c r="F9" s="27">
        <v>0</v>
      </c>
      <c r="G9" s="28" t="s">
        <v>31</v>
      </c>
      <c r="H9" s="27">
        <v>0</v>
      </c>
      <c r="I9" s="28" t="s">
        <v>32</v>
      </c>
      <c r="J9" s="27">
        <v>0</v>
      </c>
      <c r="K9" s="29">
        <f t="shared" ref="K9:K17" si="0">(3600*F9)+(60*H9)+J9</f>
        <v>0</v>
      </c>
      <c r="L9" s="40" t="s">
        <v>33</v>
      </c>
      <c r="M9" s="22">
        <f>INT(0.261208*((10454-K9)/100)^2.1)</f>
        <v>4544</v>
      </c>
    </row>
    <row r="10" spans="1:13" x14ac:dyDescent="0.2">
      <c r="A10" s="3"/>
      <c r="B10" s="8">
        <v>600</v>
      </c>
      <c r="C10" s="9">
        <v>8.9751999999999998E-2</v>
      </c>
      <c r="D10" s="9">
        <v>17543</v>
      </c>
      <c r="E10" s="9">
        <v>2.1</v>
      </c>
      <c r="F10" s="27">
        <v>0</v>
      </c>
      <c r="G10" s="28" t="s">
        <v>31</v>
      </c>
      <c r="H10" s="27">
        <v>0</v>
      </c>
      <c r="I10" s="28" t="s">
        <v>32</v>
      </c>
      <c r="J10" s="27">
        <v>0</v>
      </c>
      <c r="K10" s="29">
        <f t="shared" si="0"/>
        <v>0</v>
      </c>
      <c r="L10" s="40" t="s">
        <v>33</v>
      </c>
      <c r="M10" s="22">
        <f>INT(0.089752*((17543-K10)/100)^2.1)</f>
        <v>4630</v>
      </c>
    </row>
    <row r="11" spans="1:13" x14ac:dyDescent="0.2">
      <c r="A11" s="3"/>
      <c r="B11" s="8">
        <v>800</v>
      </c>
      <c r="C11" s="9">
        <v>4.3619999999999999E-2</v>
      </c>
      <c r="D11" s="9">
        <v>24531</v>
      </c>
      <c r="E11" s="9">
        <v>2.1</v>
      </c>
      <c r="F11" s="27">
        <v>0</v>
      </c>
      <c r="G11" s="28" t="s">
        <v>31</v>
      </c>
      <c r="H11" s="27">
        <v>0</v>
      </c>
      <c r="I11" s="28" t="s">
        <v>32</v>
      </c>
      <c r="J11" s="27">
        <v>0</v>
      </c>
      <c r="K11" s="29">
        <f t="shared" si="0"/>
        <v>0</v>
      </c>
      <c r="L11" s="40" t="s">
        <v>33</v>
      </c>
      <c r="M11" s="22">
        <f>INT(0.04362*((24531-K11)/100)^2.1)</f>
        <v>4550</v>
      </c>
    </row>
    <row r="12" spans="1:13" x14ac:dyDescent="0.2">
      <c r="A12" s="3"/>
      <c r="B12" s="8">
        <v>1000</v>
      </c>
      <c r="C12" s="9">
        <v>6.914E-3</v>
      </c>
      <c r="D12" s="9">
        <v>34158</v>
      </c>
      <c r="E12" s="9">
        <v>2.2999999999999998</v>
      </c>
      <c r="F12" s="27">
        <v>0</v>
      </c>
      <c r="G12" s="28" t="s">
        <v>31</v>
      </c>
      <c r="H12" s="27">
        <v>0</v>
      </c>
      <c r="I12" s="28" t="s">
        <v>32</v>
      </c>
      <c r="J12" s="27">
        <v>0</v>
      </c>
      <c r="K12" s="29">
        <f t="shared" si="0"/>
        <v>0</v>
      </c>
      <c r="L12" s="40" t="s">
        <v>33</v>
      </c>
      <c r="M12" s="22">
        <f>INT(0.006914*((34158-K12)/100)^2.3)</f>
        <v>4642</v>
      </c>
    </row>
    <row r="13" spans="1:13" x14ac:dyDescent="0.2">
      <c r="A13" s="3"/>
      <c r="B13" s="8">
        <v>1500</v>
      </c>
      <c r="C13" s="9">
        <v>2.4951000000000001E-3</v>
      </c>
      <c r="D13" s="9">
        <v>53216</v>
      </c>
      <c r="E13" s="9">
        <v>2.2999999999999998</v>
      </c>
      <c r="F13" s="27">
        <v>0</v>
      </c>
      <c r="G13" s="28" t="s">
        <v>31</v>
      </c>
      <c r="H13" s="27">
        <v>0</v>
      </c>
      <c r="I13" s="28" t="s">
        <v>32</v>
      </c>
      <c r="J13" s="27">
        <v>0</v>
      </c>
      <c r="K13" s="29">
        <f t="shared" si="0"/>
        <v>0</v>
      </c>
      <c r="L13" s="40" t="s">
        <v>33</v>
      </c>
      <c r="M13" s="22">
        <f>INT(0.0024951*((53216-K13)/100)^2.3)</f>
        <v>4644</v>
      </c>
    </row>
    <row r="14" spans="1:13" x14ac:dyDescent="0.2">
      <c r="A14" s="3"/>
      <c r="B14" s="8">
        <v>2000</v>
      </c>
      <c r="C14" s="9">
        <v>1.1486000000000001E-3</v>
      </c>
      <c r="D14" s="9">
        <v>74565</v>
      </c>
      <c r="E14" s="9">
        <v>2.2999999999999998</v>
      </c>
      <c r="F14" s="27">
        <v>0</v>
      </c>
      <c r="G14" s="28" t="s">
        <v>31</v>
      </c>
      <c r="H14" s="27">
        <v>0</v>
      </c>
      <c r="I14" s="28" t="s">
        <v>32</v>
      </c>
      <c r="J14" s="27">
        <v>0</v>
      </c>
      <c r="K14" s="29">
        <f t="shared" si="0"/>
        <v>0</v>
      </c>
      <c r="L14" s="40" t="s">
        <v>33</v>
      </c>
      <c r="M14" s="22">
        <f>INT(0.0011486*((74565-K14)/100)^2.3)</f>
        <v>4645</v>
      </c>
    </row>
    <row r="15" spans="1:13" x14ac:dyDescent="0.2">
      <c r="A15" s="3"/>
      <c r="B15" s="8">
        <v>3000</v>
      </c>
      <c r="C15" s="9">
        <v>4.2789E-4</v>
      </c>
      <c r="D15" s="9">
        <v>114561</v>
      </c>
      <c r="E15" s="9">
        <v>2.2999999999999998</v>
      </c>
      <c r="F15" s="27">
        <v>0</v>
      </c>
      <c r="G15" s="28" t="s">
        <v>31</v>
      </c>
      <c r="H15" s="27">
        <v>0</v>
      </c>
      <c r="I15" s="28" t="s">
        <v>32</v>
      </c>
      <c r="J15" s="27">
        <v>0</v>
      </c>
      <c r="K15" s="29">
        <f t="shared" si="0"/>
        <v>0</v>
      </c>
      <c r="L15" s="40" t="s">
        <v>33</v>
      </c>
      <c r="M15" s="22">
        <f>INT(0.00042789*((114561-K15)/100)^2.3)</f>
        <v>4646</v>
      </c>
    </row>
    <row r="16" spans="1:13" x14ac:dyDescent="0.2">
      <c r="A16" s="3"/>
      <c r="B16" s="8">
        <v>5000</v>
      </c>
      <c r="C16" s="9">
        <v>1.1545E-4</v>
      </c>
      <c r="D16" s="9">
        <v>202413</v>
      </c>
      <c r="E16" s="9">
        <v>2.2999999999999998</v>
      </c>
      <c r="F16" s="27">
        <v>0</v>
      </c>
      <c r="G16" s="28" t="s">
        <v>31</v>
      </c>
      <c r="H16" s="27">
        <v>0</v>
      </c>
      <c r="I16" s="28" t="s">
        <v>32</v>
      </c>
      <c r="J16" s="27">
        <v>0</v>
      </c>
      <c r="K16" s="29">
        <f t="shared" si="0"/>
        <v>0</v>
      </c>
      <c r="L16" s="40" t="s">
        <v>33</v>
      </c>
      <c r="M16" s="22" t="e">
        <f>INT(0.00011545*((202413-L16)/100)^2.3)</f>
        <v>#VALUE!</v>
      </c>
    </row>
    <row r="17" spans="1:13" x14ac:dyDescent="0.2">
      <c r="A17" s="3"/>
      <c r="B17" s="8">
        <v>10000</v>
      </c>
      <c r="C17" s="9">
        <v>2.1257E-5</v>
      </c>
      <c r="D17" s="9">
        <v>422397</v>
      </c>
      <c r="E17" s="9">
        <v>2.2999999999999998</v>
      </c>
      <c r="F17" s="27">
        <v>0</v>
      </c>
      <c r="G17" s="28" t="s">
        <v>31</v>
      </c>
      <c r="H17" s="27">
        <v>0</v>
      </c>
      <c r="I17" s="28" t="s">
        <v>32</v>
      </c>
      <c r="J17" s="27">
        <v>0</v>
      </c>
      <c r="K17" s="29">
        <f t="shared" si="0"/>
        <v>0</v>
      </c>
      <c r="L17" s="40" t="s">
        <v>33</v>
      </c>
      <c r="M17" s="22">
        <f>INT(0.000021257*((422397-K17)/100)^2.3)</f>
        <v>4641</v>
      </c>
    </row>
    <row r="18" spans="1:13" x14ac:dyDescent="0.2">
      <c r="A18" s="3"/>
      <c r="B18" s="8" t="s">
        <v>17</v>
      </c>
      <c r="C18" s="9">
        <v>16.638376999999998</v>
      </c>
      <c r="D18" s="9">
        <v>1448</v>
      </c>
      <c r="E18" s="9">
        <v>2.1</v>
      </c>
      <c r="F18" s="98">
        <v>0</v>
      </c>
      <c r="G18" s="99"/>
      <c r="H18" s="99"/>
      <c r="I18" s="99"/>
      <c r="J18" s="100"/>
      <c r="L18" s="43" t="s">
        <v>8</v>
      </c>
      <c r="M18" s="22" t="e">
        <f>INT(16.638377*((1448-#REF!)/100)^2.1)</f>
        <v>#REF!</v>
      </c>
    </row>
    <row r="19" spans="1:13" x14ac:dyDescent="0.2">
      <c r="A19" s="3"/>
      <c r="B19" s="8" t="s">
        <v>18</v>
      </c>
      <c r="C19" s="9">
        <v>12.060698</v>
      </c>
      <c r="D19" s="9">
        <v>1688</v>
      </c>
      <c r="E19" s="9">
        <v>2.1</v>
      </c>
      <c r="F19" s="98">
        <v>0</v>
      </c>
      <c r="G19" s="99"/>
      <c r="H19" s="99"/>
      <c r="I19" s="99"/>
      <c r="J19" s="100"/>
      <c r="L19" s="41" t="s">
        <v>8</v>
      </c>
      <c r="M19" s="22">
        <f>INT(12.060698*((1688-F19*100)/100)^2.1)</f>
        <v>4558</v>
      </c>
    </row>
    <row r="20" spans="1:13" x14ac:dyDescent="0.2">
      <c r="A20" s="3"/>
      <c r="B20" s="8" t="s">
        <v>19</v>
      </c>
      <c r="C20" s="9">
        <v>7.1074820000000001</v>
      </c>
      <c r="D20" s="9">
        <v>2171</v>
      </c>
      <c r="E20" s="9">
        <v>2.1</v>
      </c>
      <c r="F20" s="98">
        <v>0</v>
      </c>
      <c r="G20" s="99"/>
      <c r="H20" s="99"/>
      <c r="I20" s="99"/>
      <c r="J20" s="100"/>
      <c r="L20" s="41" t="s">
        <v>8</v>
      </c>
      <c r="M20" s="22">
        <f>INT(7.107482*((2171-F20*100)/100)^2.1)</f>
        <v>4557</v>
      </c>
    </row>
    <row r="21" spans="1:13" x14ac:dyDescent="0.2">
      <c r="A21" s="3"/>
      <c r="B21" s="8" t="s">
        <v>20</v>
      </c>
      <c r="C21" s="9">
        <v>4.6742319999999999</v>
      </c>
      <c r="D21" s="9">
        <v>2650</v>
      </c>
      <c r="E21" s="9">
        <v>2.1</v>
      </c>
      <c r="F21" s="98">
        <v>0</v>
      </c>
      <c r="G21" s="99"/>
      <c r="H21" s="99"/>
      <c r="I21" s="99"/>
      <c r="J21" s="100"/>
      <c r="L21" s="42" t="s">
        <v>8</v>
      </c>
      <c r="M21" s="22">
        <f>INT(4.674232*((2650-F21*100)/100)^2.1)</f>
        <v>4555</v>
      </c>
    </row>
    <row r="22" spans="1:13" x14ac:dyDescent="0.2">
      <c r="A22" s="3"/>
      <c r="B22" s="8" t="s">
        <v>22</v>
      </c>
      <c r="C22" s="9">
        <v>0.21729100000000001</v>
      </c>
      <c r="D22" s="9">
        <v>11424</v>
      </c>
      <c r="E22" s="9">
        <v>2.1</v>
      </c>
      <c r="F22" s="27">
        <v>0</v>
      </c>
      <c r="G22" s="28" t="s">
        <v>31</v>
      </c>
      <c r="H22" s="27">
        <v>0</v>
      </c>
      <c r="I22" s="28" t="s">
        <v>32</v>
      </c>
      <c r="J22" s="27">
        <v>0</v>
      </c>
      <c r="K22" s="30"/>
      <c r="L22" s="40" t="s">
        <v>33</v>
      </c>
      <c r="M22" s="22">
        <f>INT(0.217291*((11424-K22)/100)^2.1)</f>
        <v>4554</v>
      </c>
    </row>
    <row r="23" spans="1:13" x14ac:dyDescent="0.2">
      <c r="A23" s="3"/>
      <c r="B23" s="8" t="s">
        <v>14</v>
      </c>
      <c r="C23" s="9">
        <v>2.0582999999999999E-3</v>
      </c>
      <c r="D23" s="9">
        <v>58137</v>
      </c>
      <c r="E23" s="9">
        <v>2.2999999999999998</v>
      </c>
      <c r="F23" s="27">
        <v>0</v>
      </c>
      <c r="G23" s="28"/>
      <c r="H23" s="27">
        <v>0</v>
      </c>
      <c r="I23" s="28"/>
      <c r="J23" s="27">
        <v>0</v>
      </c>
      <c r="K23" s="30">
        <f>(6000*F23)+(100*H23)+J23</f>
        <v>0</v>
      </c>
      <c r="L23" s="40" t="s">
        <v>33</v>
      </c>
      <c r="M23" s="22">
        <f>INT(0.0020583*((58137-K23)/100)^2.3)</f>
        <v>4696</v>
      </c>
    </row>
    <row r="24" spans="1:13" x14ac:dyDescent="0.2">
      <c r="A24" s="3"/>
      <c r="B24" s="8" t="s">
        <v>15</v>
      </c>
      <c r="C24" s="9">
        <v>9.3720000000000001E-4</v>
      </c>
      <c r="D24" s="9">
        <v>81460</v>
      </c>
      <c r="E24" s="9">
        <v>2.2999999999999998</v>
      </c>
      <c r="F24" s="27">
        <v>0</v>
      </c>
      <c r="G24" s="28"/>
      <c r="H24" s="27">
        <v>0</v>
      </c>
      <c r="I24" s="28"/>
      <c r="J24" s="27">
        <v>0</v>
      </c>
      <c r="K24" s="30">
        <f>(6000*F24)+(100*H24)+J24</f>
        <v>0</v>
      </c>
      <c r="L24" s="40" t="s">
        <v>33</v>
      </c>
      <c r="M24" s="22">
        <f>INT(0.0009372*((81460-K24)/100)^2.3)</f>
        <v>4645</v>
      </c>
    </row>
    <row r="25" spans="1:13" x14ac:dyDescent="0.2">
      <c r="A25" s="3"/>
      <c r="B25" s="8" t="s">
        <v>16</v>
      </c>
      <c r="C25" s="9">
        <v>3.4914000000000001E-4</v>
      </c>
      <c r="D25" s="9">
        <v>125154</v>
      </c>
      <c r="E25" s="9">
        <v>2.2999999999999998</v>
      </c>
      <c r="F25" s="27">
        <v>0</v>
      </c>
      <c r="G25" s="28"/>
      <c r="H25" s="27">
        <v>0</v>
      </c>
      <c r="I25" s="28"/>
      <c r="J25" s="27">
        <v>0</v>
      </c>
      <c r="K25" s="30">
        <f>(6000*F25)+(100*H25)+J25</f>
        <v>0</v>
      </c>
      <c r="L25" s="40" t="s">
        <v>33</v>
      </c>
      <c r="M25" s="22">
        <f>INT(0.00034914*((125154-K25)/100)^2.3)</f>
        <v>4646</v>
      </c>
    </row>
    <row r="26" spans="1:13" x14ac:dyDescent="0.2">
      <c r="A26" s="3"/>
      <c r="B26" s="8" t="s">
        <v>23</v>
      </c>
      <c r="C26" s="9">
        <v>0.40554800000000002</v>
      </c>
      <c r="D26" s="9">
        <v>8720</v>
      </c>
      <c r="E26" s="9">
        <v>2.1</v>
      </c>
      <c r="F26" s="98">
        <v>0</v>
      </c>
      <c r="G26" s="99"/>
      <c r="H26" s="99"/>
      <c r="I26" s="99"/>
      <c r="J26" s="100"/>
      <c r="L26" s="32" t="s">
        <v>8</v>
      </c>
      <c r="M26" s="22">
        <f>INT(0.405548*((8720-F26*100)/100)^2.1)</f>
        <v>4820</v>
      </c>
    </row>
    <row r="27" spans="1:13" x14ac:dyDescent="0.2">
      <c r="A27" s="3"/>
      <c r="B27" s="8" t="s">
        <v>24</v>
      </c>
      <c r="C27" s="9">
        <v>1.4782E-2</v>
      </c>
      <c r="D27" s="9">
        <v>41816</v>
      </c>
      <c r="E27" s="9">
        <v>2.1</v>
      </c>
      <c r="F27" s="27">
        <v>0</v>
      </c>
      <c r="G27" s="28" t="s">
        <v>31</v>
      </c>
      <c r="H27" s="27">
        <v>0</v>
      </c>
      <c r="I27" s="28" t="s">
        <v>32</v>
      </c>
      <c r="J27" s="27">
        <v>0</v>
      </c>
      <c r="K27" s="30"/>
      <c r="L27" s="40" t="s">
        <v>33</v>
      </c>
      <c r="M27" s="22">
        <f>INT(0.014782*((41816-K27)/100)^2.1)</f>
        <v>4726</v>
      </c>
    </row>
    <row r="28" spans="1:13" x14ac:dyDescent="0.2">
      <c r="A28" s="3"/>
      <c r="B28" s="8" t="s">
        <v>0</v>
      </c>
      <c r="C28" s="9">
        <v>855.31004900000005</v>
      </c>
      <c r="D28" s="9">
        <v>62</v>
      </c>
      <c r="E28" s="10">
        <v>1</v>
      </c>
      <c r="F28" s="98">
        <v>0</v>
      </c>
      <c r="G28" s="99"/>
      <c r="H28" s="99"/>
      <c r="I28" s="99"/>
      <c r="J28" s="100"/>
      <c r="L28" s="43" t="s">
        <v>9</v>
      </c>
      <c r="M28" s="22">
        <f>INT(855.310049*((100*F28-62)/100))</f>
        <v>-531</v>
      </c>
    </row>
    <row r="29" spans="1:13" x14ac:dyDescent="0.2">
      <c r="A29" s="3"/>
      <c r="B29" s="8" t="s">
        <v>1</v>
      </c>
      <c r="C29" s="9">
        <v>220.628792</v>
      </c>
      <c r="D29" s="11">
        <v>180</v>
      </c>
      <c r="E29" s="10">
        <v>1</v>
      </c>
      <c r="F29" s="98">
        <v>0</v>
      </c>
      <c r="G29" s="99"/>
      <c r="H29" s="99"/>
      <c r="I29" s="99"/>
      <c r="J29" s="100"/>
      <c r="L29" s="41" t="s">
        <v>9</v>
      </c>
      <c r="M29" s="22">
        <f>INT(220.628792*((100*F29-180)/100))</f>
        <v>-398</v>
      </c>
    </row>
    <row r="30" spans="1:13" x14ac:dyDescent="0.2">
      <c r="A30" s="3"/>
      <c r="B30" s="8" t="s">
        <v>29</v>
      </c>
      <c r="C30" s="6">
        <v>106.044538</v>
      </c>
      <c r="D30" s="12">
        <v>374</v>
      </c>
      <c r="E30" s="7">
        <v>1</v>
      </c>
      <c r="F30" s="98">
        <v>0</v>
      </c>
      <c r="G30" s="99"/>
      <c r="H30" s="99"/>
      <c r="I30" s="99"/>
      <c r="J30" s="100"/>
      <c r="L30" s="41" t="s">
        <v>9</v>
      </c>
      <c r="M30" s="22">
        <f>INT(106.044538*((100*F30-374)/100))</f>
        <v>-397</v>
      </c>
    </row>
    <row r="31" spans="1:13" x14ac:dyDescent="0.2">
      <c r="A31" s="3"/>
      <c r="B31" s="8" t="s">
        <v>25</v>
      </c>
      <c r="C31" s="6">
        <v>307.69229999999999</v>
      </c>
      <c r="D31" s="9">
        <v>70</v>
      </c>
      <c r="E31" s="7">
        <v>1</v>
      </c>
      <c r="F31" s="98">
        <v>0</v>
      </c>
      <c r="G31" s="99"/>
      <c r="H31" s="99"/>
      <c r="I31" s="99"/>
      <c r="J31" s="100"/>
      <c r="L31" s="41" t="s">
        <v>9</v>
      </c>
      <c r="M31" s="22">
        <f>INT(307.6923*((100*F31-70)/100))</f>
        <v>-216</v>
      </c>
    </row>
    <row r="32" spans="1:13" x14ac:dyDescent="0.2">
      <c r="A32" s="3"/>
      <c r="B32" s="8" t="s">
        <v>2</v>
      </c>
      <c r="C32" s="9">
        <v>83.435372999999998</v>
      </c>
      <c r="D32" s="11">
        <v>130</v>
      </c>
      <c r="E32" s="13">
        <v>0.9</v>
      </c>
      <c r="F32" s="98">
        <v>0</v>
      </c>
      <c r="G32" s="99"/>
      <c r="H32" s="99"/>
      <c r="I32" s="99"/>
      <c r="J32" s="100"/>
      <c r="L32" s="41" t="s">
        <v>9</v>
      </c>
      <c r="M32" s="22" t="e">
        <f>INT(83.435373*((100*F32-130)/100)^0.9)</f>
        <v>#NUM!</v>
      </c>
    </row>
    <row r="33" spans="1:13" x14ac:dyDescent="0.2">
      <c r="A33" s="3"/>
      <c r="B33" s="8" t="s">
        <v>3</v>
      </c>
      <c r="C33" s="9">
        <v>27.928062000000001</v>
      </c>
      <c r="D33" s="11">
        <v>362</v>
      </c>
      <c r="E33" s="13">
        <v>0.9</v>
      </c>
      <c r="F33" s="98">
        <v>0</v>
      </c>
      <c r="G33" s="99"/>
      <c r="H33" s="99"/>
      <c r="I33" s="99"/>
      <c r="J33" s="100"/>
      <c r="L33" s="41" t="s">
        <v>9</v>
      </c>
      <c r="M33" s="22" t="e">
        <f>INT(27.928062*((100*F33-362)/100)^0.9)</f>
        <v>#NUM!</v>
      </c>
    </row>
    <row r="34" spans="1:13" x14ac:dyDescent="0.2">
      <c r="A34" s="3"/>
      <c r="B34" s="8" t="s">
        <v>4</v>
      </c>
      <c r="C34" s="9">
        <v>28.058125</v>
      </c>
      <c r="D34" s="11">
        <v>360</v>
      </c>
      <c r="E34" s="13">
        <v>0.9</v>
      </c>
      <c r="F34" s="98">
        <v>0</v>
      </c>
      <c r="G34" s="99"/>
      <c r="H34" s="99"/>
      <c r="I34" s="99"/>
      <c r="J34" s="100"/>
      <c r="L34" s="41" t="s">
        <v>9</v>
      </c>
      <c r="M34" s="22" t="e">
        <f>INT(28.058125*((100*F34-360)/100)^0.9)</f>
        <v>#NUM!</v>
      </c>
    </row>
    <row r="35" spans="1:13" x14ac:dyDescent="0.2">
      <c r="A35" s="3"/>
      <c r="B35" s="8" t="s">
        <v>26</v>
      </c>
      <c r="C35" s="9">
        <v>25.267696000000001</v>
      </c>
      <c r="D35" s="11">
        <v>405</v>
      </c>
      <c r="E35" s="13">
        <v>0.9</v>
      </c>
      <c r="F35" s="98">
        <v>0</v>
      </c>
      <c r="G35" s="99"/>
      <c r="H35" s="99"/>
      <c r="I35" s="99"/>
      <c r="J35" s="100"/>
      <c r="L35" s="41" t="s">
        <v>9</v>
      </c>
      <c r="M35" s="22" t="e">
        <f>INT(25.267696*((100*F35-405)/100)^0.9)</f>
        <v>#NUM!</v>
      </c>
    </row>
    <row r="36" spans="1:13" x14ac:dyDescent="0.2">
      <c r="A36" s="3"/>
      <c r="B36" s="14" t="s">
        <v>27</v>
      </c>
      <c r="C36" s="15">
        <v>22</v>
      </c>
      <c r="D36" s="16">
        <v>500</v>
      </c>
      <c r="E36" s="17">
        <v>0.9</v>
      </c>
      <c r="F36" s="98">
        <v>0</v>
      </c>
      <c r="G36" s="99"/>
      <c r="H36" s="99"/>
      <c r="I36" s="99"/>
      <c r="J36" s="100"/>
      <c r="L36" s="41" t="s">
        <v>9</v>
      </c>
      <c r="M36" s="22" t="e">
        <f>INT(22*((100*F36-500)/100)^0.9)</f>
        <v>#NUM!</v>
      </c>
    </row>
    <row r="37" spans="1:13" x14ac:dyDescent="0.2">
      <c r="A37" s="3"/>
      <c r="B37" s="14" t="s">
        <v>28</v>
      </c>
      <c r="C37" s="2"/>
      <c r="D37" s="2"/>
      <c r="E37" s="2"/>
      <c r="F37" s="98">
        <v>0</v>
      </c>
      <c r="G37" s="99"/>
      <c r="H37" s="99"/>
      <c r="I37" s="99"/>
      <c r="J37" s="100"/>
      <c r="L37" s="41" t="s">
        <v>9</v>
      </c>
      <c r="M37" s="22">
        <f>INT(0.48*(F37-1500))</f>
        <v>-720</v>
      </c>
    </row>
    <row r="40" spans="1:13" x14ac:dyDescent="0.2">
      <c r="A40" s="1" t="s">
        <v>6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4"/>
    </row>
    <row r="41" spans="1:13" x14ac:dyDescent="0.2">
      <c r="A41" s="3"/>
      <c r="B41" s="3" t="s">
        <v>10</v>
      </c>
      <c r="C41" s="3" t="s">
        <v>11</v>
      </c>
      <c r="D41" s="3" t="s">
        <v>12</v>
      </c>
      <c r="E41" s="3" t="s">
        <v>13</v>
      </c>
      <c r="F41" s="21" t="s">
        <v>7</v>
      </c>
      <c r="G41" s="37"/>
      <c r="H41" s="37"/>
      <c r="I41" s="37"/>
      <c r="J41" s="38"/>
      <c r="K41" s="18"/>
      <c r="L41" s="39" t="s">
        <v>34</v>
      </c>
      <c r="M41" s="23" t="s">
        <v>30</v>
      </c>
    </row>
    <row r="42" spans="1:13" x14ac:dyDescent="0.2">
      <c r="A42" s="3"/>
      <c r="B42" s="5">
        <v>50</v>
      </c>
      <c r="C42" s="6">
        <v>8.0556900000000002</v>
      </c>
      <c r="D42" s="5">
        <v>1300</v>
      </c>
      <c r="E42" s="19">
        <v>2.5</v>
      </c>
      <c r="F42" s="98">
        <v>0</v>
      </c>
      <c r="G42" s="99"/>
      <c r="H42" s="99"/>
      <c r="I42" s="99"/>
      <c r="J42" s="100"/>
      <c r="K42" s="19"/>
      <c r="L42" s="39" t="s">
        <v>8</v>
      </c>
      <c r="M42" s="22">
        <f>INT(8.05569*((1300-100*F42)/100)^2.5)</f>
        <v>4908</v>
      </c>
    </row>
    <row r="43" spans="1:13" x14ac:dyDescent="0.2">
      <c r="A43" s="3"/>
      <c r="B43" s="5">
        <v>60</v>
      </c>
      <c r="C43" s="6">
        <v>6.3089500000000003</v>
      </c>
      <c r="D43" s="5">
        <v>1460</v>
      </c>
      <c r="E43" s="19">
        <v>2.5</v>
      </c>
      <c r="F43" s="98">
        <v>0</v>
      </c>
      <c r="G43" s="99"/>
      <c r="H43" s="99"/>
      <c r="I43" s="99"/>
      <c r="J43" s="100"/>
      <c r="K43" s="19"/>
      <c r="L43" s="39" t="s">
        <v>8</v>
      </c>
      <c r="M43" s="22">
        <f>INT(6.30895*((1460-100*F43)/100)^2.5)</f>
        <v>5138</v>
      </c>
    </row>
    <row r="44" spans="1:13" x14ac:dyDescent="0.2">
      <c r="A44" s="3"/>
      <c r="B44" s="5">
        <v>80</v>
      </c>
      <c r="C44" s="6">
        <v>3.80423</v>
      </c>
      <c r="D44" s="5">
        <v>1820</v>
      </c>
      <c r="E44" s="19">
        <v>2.5</v>
      </c>
      <c r="F44" s="98">
        <v>0</v>
      </c>
      <c r="G44" s="99"/>
      <c r="H44" s="99"/>
      <c r="I44" s="99"/>
      <c r="J44" s="100"/>
      <c r="K44" s="19"/>
      <c r="L44" s="39" t="s">
        <v>8</v>
      </c>
      <c r="M44" s="22">
        <f>INT(3.80423*((1820-100*F44)/100)^2.5)</f>
        <v>5375</v>
      </c>
    </row>
    <row r="45" spans="1:13" x14ac:dyDescent="0.2">
      <c r="A45" s="3"/>
      <c r="B45" s="5">
        <v>100</v>
      </c>
      <c r="C45" s="6">
        <v>7.0803029999999998</v>
      </c>
      <c r="D45" s="5">
        <v>2150</v>
      </c>
      <c r="E45" s="19">
        <v>2.1</v>
      </c>
      <c r="F45" s="98">
        <v>0</v>
      </c>
      <c r="G45" s="99"/>
      <c r="H45" s="99"/>
      <c r="I45" s="99"/>
      <c r="J45" s="100"/>
      <c r="K45" s="19"/>
      <c r="L45" s="39" t="s">
        <v>8</v>
      </c>
      <c r="M45" s="22">
        <f>INT(7.080303*((2150-100*F45)/100)^2.1)</f>
        <v>4448</v>
      </c>
    </row>
    <row r="46" spans="1:13" x14ac:dyDescent="0.2">
      <c r="A46" s="3"/>
      <c r="B46" s="5">
        <v>200</v>
      </c>
      <c r="C46" s="6">
        <v>1.31532</v>
      </c>
      <c r="D46" s="5">
        <v>4567</v>
      </c>
      <c r="E46" s="19">
        <v>2.1</v>
      </c>
      <c r="F46" s="98">
        <v>0</v>
      </c>
      <c r="G46" s="99"/>
      <c r="H46" s="99"/>
      <c r="I46" s="99"/>
      <c r="J46" s="100"/>
      <c r="K46" s="19"/>
      <c r="L46" s="39" t="s">
        <v>8</v>
      </c>
      <c r="M46" s="22">
        <f>INT(1.31532*((4567-100*F46)/100)^2.1)</f>
        <v>4020</v>
      </c>
    </row>
    <row r="47" spans="1:13" x14ac:dyDescent="0.2">
      <c r="A47" s="3"/>
      <c r="B47" s="5">
        <v>300</v>
      </c>
      <c r="C47" s="6">
        <v>0.49267100000000003</v>
      </c>
      <c r="D47" s="5">
        <v>7295</v>
      </c>
      <c r="E47" s="19">
        <v>2.1</v>
      </c>
      <c r="F47" s="98">
        <v>0</v>
      </c>
      <c r="G47" s="99"/>
      <c r="H47" s="99"/>
      <c r="I47" s="99"/>
      <c r="J47" s="100"/>
      <c r="K47" s="19"/>
      <c r="L47" s="39" t="s">
        <v>8</v>
      </c>
      <c r="M47" s="22">
        <f>INT(0.492671*((7295-100*F47)/100)^2.1)</f>
        <v>4026</v>
      </c>
    </row>
    <row r="48" spans="1:13" x14ac:dyDescent="0.2">
      <c r="A48" s="3"/>
      <c r="B48" s="5">
        <v>400</v>
      </c>
      <c r="C48" s="6">
        <v>0.249724</v>
      </c>
      <c r="D48" s="5">
        <v>10082</v>
      </c>
      <c r="E48" s="19">
        <v>2.1</v>
      </c>
      <c r="F48" s="27">
        <v>0</v>
      </c>
      <c r="G48" s="26" t="s">
        <v>31</v>
      </c>
      <c r="H48" s="27">
        <v>0</v>
      </c>
      <c r="I48" s="26" t="s">
        <v>32</v>
      </c>
      <c r="J48" s="27">
        <v>0</v>
      </c>
      <c r="K48" s="25">
        <f t="shared" ref="K48:K58" si="1">(3600*F48)+(60*H48)+J48</f>
        <v>0</v>
      </c>
      <c r="L48" s="39" t="s">
        <v>8</v>
      </c>
      <c r="M48" s="22">
        <f>INT(0.249724*((10082-K48)/100)^2.1)</f>
        <v>4026</v>
      </c>
    </row>
    <row r="49" spans="1:13" x14ac:dyDescent="0.2">
      <c r="A49" s="3"/>
      <c r="B49" s="5">
        <v>600</v>
      </c>
      <c r="C49" s="6">
        <v>0.86375000000000002</v>
      </c>
      <c r="D49" s="5">
        <v>16833</v>
      </c>
      <c r="E49" s="19">
        <v>2.1</v>
      </c>
      <c r="F49" s="27">
        <v>0</v>
      </c>
      <c r="G49" s="26" t="s">
        <v>31</v>
      </c>
      <c r="H49" s="27">
        <v>0</v>
      </c>
      <c r="I49" s="26" t="s">
        <v>32</v>
      </c>
      <c r="J49" s="27">
        <v>0</v>
      </c>
      <c r="K49" s="25">
        <f t="shared" si="1"/>
        <v>0</v>
      </c>
      <c r="L49" s="39" t="s">
        <v>8</v>
      </c>
      <c r="M49" s="22">
        <f>INT(0.86375*((16833-K49)/100)^2.1)</f>
        <v>40862</v>
      </c>
    </row>
    <row r="50" spans="1:13" x14ac:dyDescent="0.2">
      <c r="A50" s="3"/>
      <c r="B50" s="5">
        <v>800</v>
      </c>
      <c r="C50" s="6">
        <v>4.2083000000000002E-2</v>
      </c>
      <c r="D50" s="5">
        <v>23537</v>
      </c>
      <c r="E50" s="19">
        <v>2.1</v>
      </c>
      <c r="F50" s="27">
        <v>0</v>
      </c>
      <c r="G50" s="26" t="s">
        <v>31</v>
      </c>
      <c r="H50" s="27">
        <v>0</v>
      </c>
      <c r="I50" s="26" t="s">
        <v>32</v>
      </c>
      <c r="J50" s="27">
        <v>0</v>
      </c>
      <c r="K50" s="25">
        <f t="shared" si="1"/>
        <v>0</v>
      </c>
      <c r="L50" s="39" t="s">
        <v>8</v>
      </c>
      <c r="M50" s="22">
        <f>INT(0.042083*((23537-K50)/100)^2.1)</f>
        <v>4025</v>
      </c>
    </row>
    <row r="51" spans="1:13" x14ac:dyDescent="0.2">
      <c r="A51" s="3"/>
      <c r="B51" s="5">
        <v>1000</v>
      </c>
      <c r="C51" s="6">
        <v>6.8250999999999997E-3</v>
      </c>
      <c r="D51" s="5">
        <v>32581</v>
      </c>
      <c r="E51" s="19">
        <v>2.2999999999999998</v>
      </c>
      <c r="F51" s="27">
        <v>0</v>
      </c>
      <c r="G51" s="26" t="s">
        <v>31</v>
      </c>
      <c r="H51" s="27">
        <v>0</v>
      </c>
      <c r="I51" s="26" t="s">
        <v>32</v>
      </c>
      <c r="J51" s="27">
        <v>0</v>
      </c>
      <c r="K51" s="25">
        <f t="shared" si="1"/>
        <v>0</v>
      </c>
      <c r="L51" s="39" t="s">
        <v>8</v>
      </c>
      <c r="M51" s="22">
        <f>INT(0.0068251*((32581-K51)/100)^2.1)</f>
        <v>1292</v>
      </c>
    </row>
    <row r="52" spans="1:13" x14ac:dyDescent="0.2">
      <c r="A52" s="3"/>
      <c r="B52" s="5">
        <v>1500</v>
      </c>
      <c r="C52" s="6">
        <v>2.4383999999999999E-3</v>
      </c>
      <c r="D52" s="5">
        <v>50965</v>
      </c>
      <c r="E52" s="19">
        <v>2.2999999999999998</v>
      </c>
      <c r="F52" s="27">
        <v>0</v>
      </c>
      <c r="G52" s="26" t="s">
        <v>31</v>
      </c>
      <c r="H52" s="27">
        <v>0</v>
      </c>
      <c r="I52" s="26" t="s">
        <v>32</v>
      </c>
      <c r="J52" s="27">
        <v>0</v>
      </c>
      <c r="K52" s="25">
        <f t="shared" si="1"/>
        <v>0</v>
      </c>
      <c r="L52" s="39" t="s">
        <v>8</v>
      </c>
      <c r="M52" s="22">
        <f>INT(0.0024384*((50965-K52)/100)^2.1)</f>
        <v>1181</v>
      </c>
    </row>
    <row r="53" spans="1:13" x14ac:dyDescent="0.2">
      <c r="A53" s="3"/>
      <c r="B53" s="5">
        <v>2000</v>
      </c>
      <c r="C53" s="6">
        <v>1.1358E-3</v>
      </c>
      <c r="D53" s="5">
        <v>71036</v>
      </c>
      <c r="E53" s="19">
        <v>2.2999999999999998</v>
      </c>
      <c r="F53" s="27">
        <v>0</v>
      </c>
      <c r="G53" s="26" t="s">
        <v>31</v>
      </c>
      <c r="H53" s="27">
        <v>0</v>
      </c>
      <c r="I53" s="26" t="s">
        <v>32</v>
      </c>
      <c r="J53" s="27">
        <v>0</v>
      </c>
      <c r="K53" s="25">
        <f t="shared" si="1"/>
        <v>0</v>
      </c>
      <c r="L53" s="39" t="s">
        <v>8</v>
      </c>
      <c r="M53" s="22">
        <f>INT(0.0011358*((71036-K53)/100)^2.1)</f>
        <v>1105</v>
      </c>
    </row>
    <row r="54" spans="1:13" x14ac:dyDescent="0.2">
      <c r="A54" s="3"/>
      <c r="B54" s="5">
        <v>3000</v>
      </c>
      <c r="C54" s="6">
        <v>4.1503999999999998E-4</v>
      </c>
      <c r="D54" s="5">
        <v>110024</v>
      </c>
      <c r="E54" s="19">
        <v>2.2999999999999998</v>
      </c>
      <c r="F54" s="27">
        <v>0</v>
      </c>
      <c r="G54" s="26" t="s">
        <v>31</v>
      </c>
      <c r="H54" s="27">
        <v>0</v>
      </c>
      <c r="I54" s="26" t="s">
        <v>32</v>
      </c>
      <c r="J54" s="27">
        <v>0</v>
      </c>
      <c r="K54" s="25">
        <f t="shared" si="1"/>
        <v>0</v>
      </c>
      <c r="L54" s="39" t="s">
        <v>8</v>
      </c>
      <c r="M54" s="22">
        <f>INT(0.00041504*((110024-K54)/100)^2.1)</f>
        <v>1012</v>
      </c>
    </row>
    <row r="55" spans="1:13" x14ac:dyDescent="0.2">
      <c r="A55" s="3"/>
      <c r="B55" s="5">
        <v>10000</v>
      </c>
      <c r="C55" s="6">
        <v>2.1844E-5</v>
      </c>
      <c r="D55" s="5">
        <v>395879</v>
      </c>
      <c r="E55" s="19">
        <v>2.2999999999999998</v>
      </c>
      <c r="F55" s="27">
        <v>0</v>
      </c>
      <c r="G55" s="26" t="s">
        <v>31</v>
      </c>
      <c r="H55" s="27">
        <v>0</v>
      </c>
      <c r="I55" s="26" t="s">
        <v>32</v>
      </c>
      <c r="J55" s="27">
        <v>0</v>
      </c>
      <c r="K55" s="25">
        <f t="shared" si="1"/>
        <v>0</v>
      </c>
      <c r="L55" s="39" t="s">
        <v>8</v>
      </c>
      <c r="M55" s="22">
        <f>INT(0.000021844*((395879-K55)/100)^2.1)</f>
        <v>783</v>
      </c>
    </row>
    <row r="56" spans="1:13" x14ac:dyDescent="0.2">
      <c r="A56" s="3"/>
      <c r="B56" s="5" t="s">
        <v>14</v>
      </c>
      <c r="C56" s="6">
        <v>1.8664E-3</v>
      </c>
      <c r="D56" s="5">
        <v>56163</v>
      </c>
      <c r="E56" s="19">
        <v>2.2999999999999998</v>
      </c>
      <c r="F56" s="27">
        <v>0</v>
      </c>
      <c r="G56" s="26" t="s">
        <v>31</v>
      </c>
      <c r="H56" s="27">
        <v>0</v>
      </c>
      <c r="I56" s="26" t="s">
        <v>32</v>
      </c>
      <c r="J56" s="27">
        <v>0</v>
      </c>
      <c r="K56" s="25">
        <f t="shared" si="1"/>
        <v>0</v>
      </c>
      <c r="L56" s="40" t="s">
        <v>33</v>
      </c>
      <c r="M56" s="22">
        <f>INT(0.0018664*((56163-K56)/100)^2.1)</f>
        <v>1108</v>
      </c>
    </row>
    <row r="57" spans="1:13" x14ac:dyDescent="0.2">
      <c r="A57" s="3"/>
      <c r="B57" s="5" t="s">
        <v>15</v>
      </c>
      <c r="C57" s="6">
        <v>9.4366000000000003E-4</v>
      </c>
      <c r="D57" s="5">
        <v>77009</v>
      </c>
      <c r="E57" s="19">
        <v>2.2999999999999998</v>
      </c>
      <c r="F57" s="27">
        <v>0</v>
      </c>
      <c r="G57" s="26" t="s">
        <v>31</v>
      </c>
      <c r="H57" s="27">
        <v>0</v>
      </c>
      <c r="I57" s="26" t="s">
        <v>32</v>
      </c>
      <c r="J57" s="27">
        <v>0</v>
      </c>
      <c r="K57" s="25">
        <f t="shared" si="1"/>
        <v>0</v>
      </c>
      <c r="L57" s="40" t="s">
        <v>33</v>
      </c>
      <c r="M57" s="22">
        <f>INT(0.00094366*((77009-K57)/100)^2.1)</f>
        <v>1087</v>
      </c>
    </row>
    <row r="58" spans="1:13" x14ac:dyDescent="0.2">
      <c r="A58" s="3"/>
      <c r="B58" s="5" t="s">
        <v>16</v>
      </c>
      <c r="C58" s="6">
        <v>3.5432999999999998E-4</v>
      </c>
      <c r="D58" s="5">
        <v>117893</v>
      </c>
      <c r="E58" s="19">
        <v>2.2999999999999998</v>
      </c>
      <c r="F58" s="27">
        <v>0</v>
      </c>
      <c r="G58" s="26" t="s">
        <v>31</v>
      </c>
      <c r="H58" s="27">
        <v>0</v>
      </c>
      <c r="I58" s="26" t="s">
        <v>32</v>
      </c>
      <c r="J58" s="27">
        <v>0</v>
      </c>
      <c r="K58" s="25">
        <f t="shared" si="1"/>
        <v>0</v>
      </c>
      <c r="L58" s="40" t="s">
        <v>33</v>
      </c>
      <c r="M58" s="22">
        <f>INT(0.00035433*((117893-K58)/100)^2.1)</f>
        <v>998</v>
      </c>
    </row>
    <row r="59" spans="1:13" x14ac:dyDescent="0.2">
      <c r="A59" s="3"/>
      <c r="B59" s="5" t="s">
        <v>17</v>
      </c>
      <c r="C59" s="6">
        <v>14.460127999999999</v>
      </c>
      <c r="D59" s="5">
        <v>1459</v>
      </c>
      <c r="E59" s="19">
        <v>2.1</v>
      </c>
      <c r="F59" s="98">
        <v>0</v>
      </c>
      <c r="G59" s="99"/>
      <c r="H59" s="99"/>
      <c r="I59" s="99"/>
      <c r="J59" s="100"/>
      <c r="K59" s="25"/>
      <c r="L59" s="39" t="s">
        <v>8</v>
      </c>
      <c r="M59" s="22">
        <f>INT(14.460128*((1459-100*F59)/100)^2.1)</f>
        <v>4024</v>
      </c>
    </row>
    <row r="60" spans="1:13" x14ac:dyDescent="0.2">
      <c r="A60" s="3"/>
      <c r="B60" s="5" t="s">
        <v>18</v>
      </c>
      <c r="C60" s="6">
        <v>10.294836999999999</v>
      </c>
      <c r="D60" s="5">
        <v>1715</v>
      </c>
      <c r="E60" s="19">
        <v>2.1</v>
      </c>
      <c r="F60" s="98">
        <v>0</v>
      </c>
      <c r="G60" s="99"/>
      <c r="H60" s="99"/>
      <c r="I60" s="99"/>
      <c r="J60" s="100"/>
      <c r="K60" s="25"/>
      <c r="L60" s="39" t="s">
        <v>8</v>
      </c>
      <c r="M60" s="22">
        <f>INT(10.294837*((1715-100*F60)/100)^2.1)</f>
        <v>4023</v>
      </c>
    </row>
    <row r="61" spans="1:13" x14ac:dyDescent="0.2">
      <c r="A61" s="3"/>
      <c r="B61" s="5" t="s">
        <v>19</v>
      </c>
      <c r="C61" s="6">
        <v>5.9259279999999999</v>
      </c>
      <c r="D61" s="5">
        <v>2231</v>
      </c>
      <c r="E61" s="19">
        <v>2.1</v>
      </c>
      <c r="F61" s="98">
        <v>0</v>
      </c>
      <c r="G61" s="99"/>
      <c r="H61" s="99"/>
      <c r="I61" s="99"/>
      <c r="J61" s="100"/>
      <c r="K61" s="25"/>
      <c r="L61" s="39" t="s">
        <v>8</v>
      </c>
      <c r="M61" s="22">
        <f>INT(5.925928*((2231-100*F61)/100)^2.1)</f>
        <v>4023</v>
      </c>
    </row>
    <row r="62" spans="1:13" x14ac:dyDescent="0.2">
      <c r="A62" s="3"/>
      <c r="B62" s="5" t="s">
        <v>20</v>
      </c>
      <c r="C62" s="6">
        <v>3.8284400000000001</v>
      </c>
      <c r="D62" s="5">
        <v>2747</v>
      </c>
      <c r="E62" s="19">
        <v>2.1</v>
      </c>
      <c r="F62" s="98">
        <v>0</v>
      </c>
      <c r="G62" s="99"/>
      <c r="H62" s="99"/>
      <c r="I62" s="99"/>
      <c r="J62" s="100"/>
      <c r="K62" s="25"/>
      <c r="L62" s="39" t="s">
        <v>8</v>
      </c>
      <c r="M62" s="22">
        <f>INT(3.82844*((2747-100*F62)/100)^2.1)</f>
        <v>4023</v>
      </c>
    </row>
    <row r="63" spans="1:13" x14ac:dyDescent="0.2">
      <c r="A63" s="3"/>
      <c r="B63" s="5" t="s">
        <v>21</v>
      </c>
      <c r="C63" s="6">
        <v>3.1746729999999999</v>
      </c>
      <c r="D63" s="5">
        <v>3003</v>
      </c>
      <c r="E63" s="19">
        <v>2.1</v>
      </c>
      <c r="F63" s="98">
        <v>0</v>
      </c>
      <c r="G63" s="99"/>
      <c r="H63" s="99"/>
      <c r="I63" s="99"/>
      <c r="J63" s="100"/>
      <c r="K63" s="25"/>
      <c r="L63" s="39" t="s">
        <v>8</v>
      </c>
      <c r="M63" s="22">
        <f>INT(3.174673*((3003-100*F63)/100)^2.1)</f>
        <v>4023</v>
      </c>
    </row>
    <row r="64" spans="1:13" x14ac:dyDescent="0.2">
      <c r="A64" s="3"/>
      <c r="B64" s="5" t="s">
        <v>22</v>
      </c>
      <c r="C64" s="6">
        <v>0.21123700000000001</v>
      </c>
      <c r="D64" s="5">
        <v>10921</v>
      </c>
      <c r="E64" s="19">
        <v>2.1</v>
      </c>
      <c r="F64" s="27">
        <v>0</v>
      </c>
      <c r="G64" s="26" t="s">
        <v>31</v>
      </c>
      <c r="H64" s="27">
        <v>0</v>
      </c>
      <c r="I64" s="26" t="s">
        <v>32</v>
      </c>
      <c r="J64" s="27">
        <v>0</v>
      </c>
      <c r="K64" s="25">
        <f>(3600*F64)+(60*H64)+J64</f>
        <v>0</v>
      </c>
      <c r="L64" s="40" t="s">
        <v>33</v>
      </c>
      <c r="M64" s="22">
        <f>INT(0.211237*((10921-K64)/100)^2.1)</f>
        <v>4028</v>
      </c>
    </row>
    <row r="65" spans="1:13" x14ac:dyDescent="0.2">
      <c r="A65" s="3"/>
      <c r="B65" s="5" t="s">
        <v>23</v>
      </c>
      <c r="C65" s="6">
        <v>0.35598200000000002</v>
      </c>
      <c r="D65" s="5">
        <v>8600</v>
      </c>
      <c r="E65" s="19">
        <v>2.1</v>
      </c>
      <c r="F65" s="98">
        <v>0</v>
      </c>
      <c r="G65" s="99"/>
      <c r="H65" s="99"/>
      <c r="I65" s="99"/>
      <c r="J65" s="100"/>
      <c r="K65" s="25"/>
      <c r="L65" s="39" t="s">
        <v>8</v>
      </c>
      <c r="M65" s="22">
        <f>INT(0.355982*((8600-100*F65)/100)^2.1)</f>
        <v>4110</v>
      </c>
    </row>
    <row r="66" spans="1:13" x14ac:dyDescent="0.2">
      <c r="A66" s="3"/>
      <c r="B66" s="5" t="s">
        <v>24</v>
      </c>
      <c r="C66" s="6">
        <v>1.3901999999999999E-2</v>
      </c>
      <c r="D66" s="5">
        <v>40328</v>
      </c>
      <c r="E66" s="19">
        <v>2.1</v>
      </c>
      <c r="F66" s="27">
        <v>0</v>
      </c>
      <c r="G66" s="26" t="s">
        <v>31</v>
      </c>
      <c r="H66" s="27">
        <v>0</v>
      </c>
      <c r="I66" s="26" t="s">
        <v>32</v>
      </c>
      <c r="J66" s="27">
        <v>0</v>
      </c>
      <c r="K66" s="25">
        <f>(3600*F66)+(60*H66)+J66</f>
        <v>0</v>
      </c>
      <c r="L66" s="40" t="s">
        <v>33</v>
      </c>
      <c r="M66" s="22">
        <f>INT(0.013902*((40328-K66)/100)^2.1)</f>
        <v>4119</v>
      </c>
    </row>
    <row r="67" spans="1:13" x14ac:dyDescent="0.2">
      <c r="A67" s="3"/>
      <c r="B67" s="5" t="s">
        <v>0</v>
      </c>
      <c r="C67" s="6">
        <v>732.15374999999995</v>
      </c>
      <c r="D67" s="5">
        <v>75</v>
      </c>
      <c r="E67" s="20">
        <v>1</v>
      </c>
      <c r="F67" s="98">
        <v>0</v>
      </c>
      <c r="G67" s="99"/>
      <c r="H67" s="99"/>
      <c r="I67" s="99"/>
      <c r="J67" s="100"/>
      <c r="K67" s="25"/>
      <c r="L67" s="39" t="s">
        <v>9</v>
      </c>
      <c r="M67" s="22">
        <f>INT(732.15375*((100*F67-75)/100)^1)</f>
        <v>-550</v>
      </c>
    </row>
    <row r="68" spans="1:13" x14ac:dyDescent="0.2">
      <c r="A68" s="3"/>
      <c r="B68" s="5" t="s">
        <v>1</v>
      </c>
      <c r="C68" s="6">
        <v>136.08157</v>
      </c>
      <c r="D68" s="5">
        <v>130</v>
      </c>
      <c r="E68" s="20">
        <v>1.1000000000000001</v>
      </c>
      <c r="F68" s="98">
        <v>0</v>
      </c>
      <c r="G68" s="99"/>
      <c r="H68" s="99"/>
      <c r="I68" s="99"/>
      <c r="J68" s="100"/>
      <c r="K68" s="25"/>
      <c r="L68" s="39" t="s">
        <v>9</v>
      </c>
      <c r="M68" s="22" t="e">
        <f>INT(136.08157*((100*F68-130)/100)^1.1)</f>
        <v>#NUM!</v>
      </c>
    </row>
    <row r="69" spans="1:13" x14ac:dyDescent="0.2">
      <c r="A69" s="3"/>
      <c r="B69" s="5" t="s">
        <v>25</v>
      </c>
      <c r="C69" s="6">
        <v>234.78771</v>
      </c>
      <c r="D69" s="5">
        <v>80</v>
      </c>
      <c r="E69" s="20">
        <v>1</v>
      </c>
      <c r="F69" s="98">
        <v>0</v>
      </c>
      <c r="G69" s="99"/>
      <c r="H69" s="99"/>
      <c r="I69" s="99"/>
      <c r="J69" s="100"/>
      <c r="K69" s="25"/>
      <c r="L69" s="39" t="s">
        <v>9</v>
      </c>
      <c r="M69" s="22">
        <f>INT(234.78771*((100*F69-80)/100)^1)</f>
        <v>-188</v>
      </c>
    </row>
    <row r="70" spans="1:13" x14ac:dyDescent="0.2">
      <c r="A70" s="3"/>
      <c r="B70" s="5" t="s">
        <v>2</v>
      </c>
      <c r="C70" s="6">
        <v>82.491673000000006</v>
      </c>
      <c r="D70" s="5">
        <v>178</v>
      </c>
      <c r="E70" s="19">
        <v>0.9</v>
      </c>
      <c r="F70" s="98">
        <v>0</v>
      </c>
      <c r="G70" s="99"/>
      <c r="H70" s="99"/>
      <c r="I70" s="99"/>
      <c r="J70" s="100"/>
      <c r="K70" s="25"/>
      <c r="L70" s="39" t="s">
        <v>9</v>
      </c>
      <c r="M70" s="22" t="e">
        <f>INT(82.491673*((100*F70-178)/100)^0.9)</f>
        <v>#NUM!</v>
      </c>
    </row>
    <row r="71" spans="1:13" x14ac:dyDescent="0.2">
      <c r="A71" s="3"/>
      <c r="B71" s="5" t="s">
        <v>4</v>
      </c>
      <c r="C71" s="6">
        <v>23.247477</v>
      </c>
      <c r="D71" s="5">
        <v>602</v>
      </c>
      <c r="E71" s="19">
        <v>0.9</v>
      </c>
      <c r="F71" s="98">
        <v>0</v>
      </c>
      <c r="G71" s="99"/>
      <c r="H71" s="99"/>
      <c r="I71" s="99"/>
      <c r="J71" s="100"/>
      <c r="K71" s="25"/>
      <c r="L71" s="39" t="s">
        <v>9</v>
      </c>
      <c r="M71" s="22" t="e">
        <f>INT(23.247477*((100*F71-602)/100)^0.9)</f>
        <v>#NUM!</v>
      </c>
    </row>
    <row r="72" spans="1:13" x14ac:dyDescent="0.2">
      <c r="A72" s="3"/>
      <c r="B72" s="5" t="s">
        <v>3</v>
      </c>
      <c r="C72" s="6">
        <v>28.891406</v>
      </c>
      <c r="D72" s="5">
        <v>494</v>
      </c>
      <c r="E72" s="19">
        <v>0.9</v>
      </c>
      <c r="F72" s="98">
        <v>0</v>
      </c>
      <c r="G72" s="99"/>
      <c r="H72" s="99"/>
      <c r="I72" s="99"/>
      <c r="J72" s="100"/>
      <c r="K72" s="25"/>
      <c r="L72" s="39" t="s">
        <v>9</v>
      </c>
      <c r="M72" s="22" t="e">
        <f>INT(28.891406*((100*F72-494)/100)^0.9)</f>
        <v>#NUM!</v>
      </c>
    </row>
    <row r="73" spans="1:13" x14ac:dyDescent="0.2">
      <c r="A73" s="3"/>
      <c r="B73" s="5" t="s">
        <v>26</v>
      </c>
      <c r="C73" s="6">
        <v>24.978131999999999</v>
      </c>
      <c r="D73" s="5">
        <v>581</v>
      </c>
      <c r="E73" s="19">
        <v>0.9</v>
      </c>
      <c r="F73" s="98">
        <v>0</v>
      </c>
      <c r="G73" s="99"/>
      <c r="H73" s="99"/>
      <c r="I73" s="99"/>
      <c r="J73" s="100"/>
      <c r="K73" s="25"/>
      <c r="L73" s="39" t="s">
        <v>9</v>
      </c>
      <c r="M73" s="22" t="e">
        <f>INT(24.978132*((100*F73-581)/100)^0.9)</f>
        <v>#NUM!</v>
      </c>
    </row>
    <row r="74" spans="1:13" x14ac:dyDescent="0.2">
      <c r="A74" s="3"/>
      <c r="B74" s="5" t="s">
        <v>27</v>
      </c>
      <c r="C74" s="6">
        <v>19.191528000000002</v>
      </c>
      <c r="D74" s="5">
        <v>600</v>
      </c>
      <c r="E74" s="19">
        <v>0.9</v>
      </c>
      <c r="F74" s="98">
        <v>0</v>
      </c>
      <c r="G74" s="99"/>
      <c r="H74" s="99"/>
      <c r="I74" s="99"/>
      <c r="J74" s="100"/>
      <c r="K74" s="25"/>
      <c r="L74" s="39" t="s">
        <v>9</v>
      </c>
      <c r="M74" s="22" t="e">
        <f>INT(19.191528*((100*F74-600)/100)^0.9)</f>
        <v>#NUM!</v>
      </c>
    </row>
    <row r="75" spans="1:13" x14ac:dyDescent="0.2">
      <c r="A75" s="3"/>
      <c r="B75" s="5" t="s">
        <v>28</v>
      </c>
      <c r="C75" s="6"/>
      <c r="D75" s="5"/>
      <c r="E75" s="5"/>
      <c r="F75" s="97">
        <v>0</v>
      </c>
      <c r="G75" s="97"/>
      <c r="H75" s="97"/>
      <c r="I75" s="97"/>
      <c r="J75" s="97"/>
      <c r="K75" s="25"/>
      <c r="L75" s="41" t="s">
        <v>9</v>
      </c>
      <c r="M75" s="34">
        <f>INT(0.428571*(F75-1700))</f>
        <v>-729</v>
      </c>
    </row>
  </sheetData>
  <mergeCells count="43">
    <mergeCell ref="F21:J21"/>
    <mergeCell ref="F28:J28"/>
    <mergeCell ref="F4:J4"/>
    <mergeCell ref="F3:J3"/>
    <mergeCell ref="F18:J18"/>
    <mergeCell ref="F19:J19"/>
    <mergeCell ref="F8:J8"/>
    <mergeCell ref="F7:J7"/>
    <mergeCell ref="F6:J6"/>
    <mergeCell ref="F5:J5"/>
    <mergeCell ref="F2:J2"/>
    <mergeCell ref="F33:J33"/>
    <mergeCell ref="F34:J34"/>
    <mergeCell ref="F35:J35"/>
    <mergeCell ref="F36:J36"/>
    <mergeCell ref="F29:J29"/>
    <mergeCell ref="F30:J30"/>
    <mergeCell ref="F31:J31"/>
    <mergeCell ref="F32:J32"/>
    <mergeCell ref="F20:J20"/>
    <mergeCell ref="F42:J42"/>
    <mergeCell ref="F43:J43"/>
    <mergeCell ref="F44:J44"/>
    <mergeCell ref="F45:J45"/>
    <mergeCell ref="F37:J37"/>
    <mergeCell ref="F26:J26"/>
    <mergeCell ref="F61:J61"/>
    <mergeCell ref="F62:J62"/>
    <mergeCell ref="F63:J63"/>
    <mergeCell ref="F65:J65"/>
    <mergeCell ref="F46:J46"/>
    <mergeCell ref="F47:J47"/>
    <mergeCell ref="F59:J59"/>
    <mergeCell ref="F60:J60"/>
    <mergeCell ref="F75:J75"/>
    <mergeCell ref="F71:J71"/>
    <mergeCell ref="F72:J72"/>
    <mergeCell ref="F73:J73"/>
    <mergeCell ref="F74:J74"/>
    <mergeCell ref="F67:J67"/>
    <mergeCell ref="F68:J68"/>
    <mergeCell ref="F69:J69"/>
    <mergeCell ref="F70:J70"/>
  </mergeCells>
  <phoneticPr fontId="5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Knaben</vt:lpstr>
      <vt:lpstr>Mädchen</vt:lpstr>
      <vt:lpstr>Formelsammlung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Isidor Fuchser</dc:creator>
  <cp:lastModifiedBy>fuc</cp:lastModifiedBy>
  <cp:lastPrinted>2015-08-26T12:41:00Z</cp:lastPrinted>
  <dcterms:created xsi:type="dcterms:W3CDTF">2003-03-19T10:39:44Z</dcterms:created>
  <dcterms:modified xsi:type="dcterms:W3CDTF">2015-08-26T12:42:50Z</dcterms:modified>
</cp:coreProperties>
</file>